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5" activeTab="24"/>
  </bookViews>
  <sheets>
    <sheet name="Dati" sheetId="1" r:id="rId1"/>
    <sheet name="Misura prova" sheetId="2" r:id="rId2"/>
    <sheet name="Misura (1)" sheetId="9" r:id="rId3"/>
    <sheet name="Misura (2)" sheetId="10" r:id="rId4"/>
    <sheet name="Misura (3)" sheetId="11" r:id="rId5"/>
    <sheet name="Misura (4)" sheetId="13" r:id="rId6"/>
    <sheet name="Misura (5)" sheetId="14" r:id="rId7"/>
    <sheet name="Misura (6)" sheetId="15" r:id="rId8"/>
    <sheet name="Misura (7)" sheetId="16" r:id="rId9"/>
    <sheet name="Misura (8)" sheetId="17" r:id="rId10"/>
    <sheet name="Misura (9)" sheetId="19" r:id="rId11"/>
    <sheet name="Misura (10)" sheetId="21" r:id="rId12"/>
    <sheet name="Misura (11)" sheetId="22" r:id="rId13"/>
    <sheet name="Misura (12)" sheetId="23" r:id="rId14"/>
    <sheet name="Misura (13)" sheetId="24" r:id="rId15"/>
    <sheet name="Misura (14)" sheetId="26" r:id="rId16"/>
    <sheet name="Misura (15)" sheetId="27" r:id="rId17"/>
    <sheet name="Misura (16)" sheetId="28" r:id="rId18"/>
    <sheet name="Misura (17)" sheetId="30" r:id="rId19"/>
    <sheet name="Misura (18)" sheetId="31" r:id="rId20"/>
    <sheet name="Misura (19)" sheetId="32" r:id="rId21"/>
    <sheet name="Misura (20)" sheetId="33" r:id="rId22"/>
    <sheet name="Misura (21)" sheetId="34" r:id="rId23"/>
    <sheet name="Misura (22)" sheetId="35" r:id="rId24"/>
    <sheet name="Sheet21" sheetId="29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9" l="1"/>
  <c r="S9" i="29"/>
  <c r="V6" i="29"/>
  <c r="V7" i="29"/>
  <c r="V8" i="29"/>
  <c r="V9" i="29"/>
  <c r="V10" i="29"/>
  <c r="V11" i="29"/>
  <c r="V12" i="29"/>
  <c r="V13" i="29"/>
  <c r="V14" i="29"/>
  <c r="V15" i="29"/>
  <c r="V16" i="29"/>
  <c r="V17" i="29"/>
  <c r="V18" i="29"/>
  <c r="V19" i="29"/>
  <c r="V20" i="29"/>
  <c r="V21" i="29"/>
  <c r="V22" i="29"/>
  <c r="V23" i="29"/>
  <c r="V24" i="29"/>
  <c r="V25" i="29"/>
  <c r="V26" i="29"/>
  <c r="V27" i="29"/>
  <c r="V28" i="29"/>
  <c r="V29" i="29"/>
  <c r="V30" i="29"/>
  <c r="V31" i="29"/>
  <c r="V32" i="29"/>
  <c r="V33" i="29"/>
  <c r="V34" i="29"/>
  <c r="V35" i="29"/>
  <c r="V36" i="29"/>
  <c r="V37" i="29"/>
  <c r="V38" i="29"/>
  <c r="V39" i="29"/>
  <c r="V40" i="29"/>
  <c r="V41" i="29"/>
  <c r="V42" i="29"/>
  <c r="V43" i="29"/>
  <c r="V44" i="29"/>
  <c r="V45" i="29"/>
  <c r="V46" i="29"/>
  <c r="V47" i="29"/>
  <c r="V48" i="29"/>
  <c r="V49" i="29"/>
  <c r="V50" i="29"/>
  <c r="V51" i="29"/>
  <c r="V52" i="29"/>
  <c r="V53" i="29"/>
  <c r="V54" i="29"/>
  <c r="V55" i="29"/>
  <c r="V56" i="29"/>
  <c r="V57" i="29"/>
  <c r="V58" i="29"/>
  <c r="V59" i="29"/>
  <c r="V60" i="29"/>
  <c r="V61" i="29"/>
  <c r="V62" i="29"/>
  <c r="V63" i="29"/>
  <c r="V64" i="29"/>
  <c r="V65" i="29"/>
  <c r="V66" i="29"/>
  <c r="V67" i="29"/>
  <c r="V68" i="29"/>
  <c r="V69" i="29"/>
  <c r="V70" i="29"/>
  <c r="V71" i="29"/>
  <c r="V72" i="29"/>
  <c r="V73" i="29"/>
  <c r="V74" i="29"/>
  <c r="V75" i="29"/>
  <c r="V76" i="29"/>
  <c r="V77" i="29"/>
  <c r="V78" i="29"/>
  <c r="V79" i="29"/>
  <c r="V80" i="29"/>
  <c r="V81" i="29"/>
  <c r="V82" i="29"/>
  <c r="V83" i="29"/>
  <c r="V84" i="29"/>
  <c r="V85" i="29"/>
  <c r="V86" i="29"/>
  <c r="V87" i="29"/>
  <c r="V88" i="29"/>
  <c r="V89" i="29"/>
  <c r="V90" i="29"/>
  <c r="V91" i="29"/>
  <c r="V92" i="29"/>
  <c r="V93" i="29"/>
  <c r="V94" i="29"/>
  <c r="V95" i="29"/>
  <c r="V96" i="29"/>
  <c r="V97" i="29"/>
  <c r="V98" i="29"/>
  <c r="V99" i="29"/>
  <c r="V100" i="29"/>
  <c r="V101" i="29"/>
  <c r="V102" i="29"/>
  <c r="V103" i="29"/>
  <c r="V104" i="29"/>
  <c r="V5" i="29"/>
  <c r="S7" i="29"/>
  <c r="S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5" i="29"/>
  <c r="P3" i="29"/>
  <c r="K5" i="29"/>
  <c r="E12" i="35"/>
  <c r="E11" i="35"/>
  <c r="O26" i="31"/>
  <c r="O25" i="31"/>
  <c r="O24" i="31"/>
  <c r="O23" i="31"/>
  <c r="O22" i="31"/>
  <c r="J23" i="31"/>
  <c r="J24" i="31"/>
  <c r="J25" i="31"/>
  <c r="J26" i="31"/>
  <c r="J22" i="31"/>
  <c r="O26" i="27"/>
  <c r="O25" i="27"/>
  <c r="O24" i="27"/>
  <c r="O23" i="27"/>
  <c r="O22" i="27"/>
  <c r="J23" i="27"/>
  <c r="J24" i="27"/>
  <c r="J25" i="27"/>
  <c r="J26" i="27"/>
  <c r="J22" i="27"/>
  <c r="Q16" i="10"/>
  <c r="P16" i="10"/>
  <c r="K16" i="10"/>
  <c r="J16" i="10"/>
  <c r="I16" i="10"/>
  <c r="H16" i="10"/>
  <c r="O16" i="10"/>
  <c r="N16" i="10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5" i="29"/>
  <c r="C3" i="29"/>
  <c r="O19" i="35"/>
  <c r="N19" i="35"/>
  <c r="Q19" i="35" s="1"/>
  <c r="I19" i="35"/>
  <c r="H19" i="35"/>
  <c r="K19" i="35" s="1"/>
  <c r="O19" i="34"/>
  <c r="N19" i="34"/>
  <c r="Q19" i="34" s="1"/>
  <c r="I19" i="34"/>
  <c r="H19" i="34"/>
  <c r="K19" i="34" s="1"/>
  <c r="O19" i="33"/>
  <c r="N19" i="33"/>
  <c r="Q19" i="33" s="1"/>
  <c r="I19" i="33"/>
  <c r="H19" i="33"/>
  <c r="K19" i="33" s="1"/>
  <c r="O19" i="32"/>
  <c r="N19" i="32"/>
  <c r="Q19" i="32" s="1"/>
  <c r="I19" i="32"/>
  <c r="K19" i="32" s="1"/>
  <c r="H19" i="32"/>
  <c r="O19" i="30"/>
  <c r="N19" i="30"/>
  <c r="Q19" i="30" s="1"/>
  <c r="I19" i="30"/>
  <c r="H19" i="30"/>
  <c r="K19" i="30" s="1"/>
  <c r="P19" i="28"/>
  <c r="O19" i="28"/>
  <c r="N19" i="28"/>
  <c r="Q19" i="28" s="1"/>
  <c r="K19" i="28"/>
  <c r="I19" i="28"/>
  <c r="H19" i="28"/>
  <c r="J19" i="28" s="1"/>
  <c r="Q19" i="26"/>
  <c r="P19" i="26"/>
  <c r="O19" i="26"/>
  <c r="N19" i="26"/>
  <c r="K19" i="26"/>
  <c r="I19" i="26"/>
  <c r="H19" i="26"/>
  <c r="J19" i="26" s="1"/>
  <c r="O19" i="24"/>
  <c r="N19" i="24"/>
  <c r="Q19" i="24"/>
  <c r="I19" i="24"/>
  <c r="H19" i="24"/>
  <c r="O19" i="23"/>
  <c r="N19" i="23"/>
  <c r="H19" i="23"/>
  <c r="K19" i="23" s="1"/>
  <c r="I19" i="23"/>
  <c r="O19" i="21"/>
  <c r="Q19" i="21" s="1"/>
  <c r="N19" i="21"/>
  <c r="I19" i="21"/>
  <c r="H19" i="21"/>
  <c r="K19" i="21" s="1"/>
  <c r="O19" i="17"/>
  <c r="N19" i="17"/>
  <c r="I19" i="17"/>
  <c r="H19" i="17"/>
  <c r="K19" i="17" s="1"/>
  <c r="H19" i="14"/>
  <c r="K19" i="14" s="1"/>
  <c r="O19" i="14"/>
  <c r="N19" i="14"/>
  <c r="Q19" i="14" s="1"/>
  <c r="I19" i="14"/>
  <c r="O19" i="13"/>
  <c r="Q19" i="13" s="1"/>
  <c r="N19" i="13"/>
  <c r="I19" i="13"/>
  <c r="H19" i="13"/>
  <c r="K19" i="13" s="1"/>
  <c r="Q19" i="11"/>
  <c r="P19" i="11"/>
  <c r="O19" i="11"/>
  <c r="N19" i="11"/>
  <c r="J19" i="11"/>
  <c r="I19" i="11"/>
  <c r="H19" i="11"/>
  <c r="K19" i="11" s="1"/>
  <c r="Q19" i="10"/>
  <c r="O19" i="10"/>
  <c r="N19" i="10"/>
  <c r="P19" i="10" s="1"/>
  <c r="K19" i="10"/>
  <c r="J19" i="10"/>
  <c r="I19" i="10"/>
  <c r="H19" i="10"/>
  <c r="M23" i="23"/>
  <c r="M22" i="23"/>
  <c r="M26" i="23"/>
  <c r="M25" i="23"/>
  <c r="M24" i="23"/>
  <c r="H24" i="23"/>
  <c r="H25" i="23"/>
  <c r="H26" i="23"/>
  <c r="H23" i="23"/>
  <c r="H22" i="23"/>
  <c r="M33" i="21"/>
  <c r="L33" i="21"/>
  <c r="O33" i="21" s="1"/>
  <c r="N22" i="21"/>
  <c r="N26" i="21"/>
  <c r="N25" i="21"/>
  <c r="N24" i="21"/>
  <c r="N23" i="21"/>
  <c r="H26" i="21"/>
  <c r="H25" i="21"/>
  <c r="H24" i="21"/>
  <c r="H23" i="21"/>
  <c r="H22" i="21"/>
  <c r="M33" i="19"/>
  <c r="L33" i="19"/>
  <c r="O33" i="19" s="1"/>
  <c r="N22" i="19"/>
  <c r="N26" i="19"/>
  <c r="N25" i="19"/>
  <c r="N24" i="19"/>
  <c r="N23" i="19"/>
  <c r="H26" i="19"/>
  <c r="H24" i="19"/>
  <c r="H25" i="19"/>
  <c r="H23" i="19"/>
  <c r="H22" i="19"/>
  <c r="M33" i="17"/>
  <c r="L33" i="17"/>
  <c r="O33" i="17" s="1"/>
  <c r="N22" i="17"/>
  <c r="N26" i="17"/>
  <c r="N25" i="17"/>
  <c r="N24" i="17"/>
  <c r="N23" i="17"/>
  <c r="H24" i="17"/>
  <c r="H25" i="17"/>
  <c r="H26" i="17"/>
  <c r="H22" i="17"/>
  <c r="H23" i="17"/>
  <c r="O33" i="15"/>
  <c r="N33" i="15"/>
  <c r="Q22" i="15"/>
  <c r="K22" i="15"/>
  <c r="M33" i="15"/>
  <c r="N24" i="15"/>
  <c r="N25" i="15"/>
  <c r="N26" i="15"/>
  <c r="N23" i="15"/>
  <c r="N22" i="15"/>
  <c r="Q26" i="15"/>
  <c r="Q25" i="15"/>
  <c r="Q24" i="15"/>
  <c r="Q23" i="15"/>
  <c r="K23" i="15"/>
  <c r="K24" i="15"/>
  <c r="K25" i="15"/>
  <c r="K26" i="15"/>
  <c r="H24" i="15"/>
  <c r="H25" i="15"/>
  <c r="H26" i="15"/>
  <c r="H23" i="15"/>
  <c r="H22" i="15"/>
  <c r="L33" i="14"/>
  <c r="N33" i="14" s="1"/>
  <c r="M33" i="14"/>
  <c r="D24" i="13"/>
  <c r="D25" i="13"/>
  <c r="D23" i="13"/>
  <c r="D22" i="13"/>
  <c r="N24" i="14"/>
  <c r="N25" i="14"/>
  <c r="N26" i="14"/>
  <c r="N23" i="14"/>
  <c r="N22" i="14"/>
  <c r="H24" i="14"/>
  <c r="H25" i="14"/>
  <c r="H26" i="14"/>
  <c r="H23" i="14"/>
  <c r="H22" i="14"/>
  <c r="M35" i="13"/>
  <c r="L35" i="13"/>
  <c r="M33" i="13"/>
  <c r="L33" i="13"/>
  <c r="N33" i="13" s="1"/>
  <c r="M33" i="11"/>
  <c r="N22" i="11"/>
  <c r="N26" i="11"/>
  <c r="N25" i="11"/>
  <c r="N24" i="11"/>
  <c r="N23" i="11"/>
  <c r="H24" i="11"/>
  <c r="H25" i="11"/>
  <c r="H26" i="11"/>
  <c r="L33" i="11" s="1"/>
  <c r="H23" i="11"/>
  <c r="H22" i="11"/>
  <c r="N26" i="10"/>
  <c r="N25" i="10"/>
  <c r="N24" i="10"/>
  <c r="N23" i="10"/>
  <c r="H24" i="10"/>
  <c r="H25" i="10"/>
  <c r="H26" i="10"/>
  <c r="H23" i="10"/>
  <c r="N22" i="10"/>
  <c r="H22" i="10"/>
  <c r="N26" i="9"/>
  <c r="N25" i="9"/>
  <c r="N24" i="9"/>
  <c r="N23" i="9"/>
  <c r="H24" i="9"/>
  <c r="H25" i="9"/>
  <c r="H26" i="9"/>
  <c r="H23" i="9"/>
  <c r="N22" i="9"/>
  <c r="H22" i="9"/>
  <c r="N24" i="13"/>
  <c r="N25" i="13"/>
  <c r="N26" i="13"/>
  <c r="N23" i="13"/>
  <c r="N22" i="13"/>
  <c r="H24" i="13"/>
  <c r="H25" i="13"/>
  <c r="H26" i="13"/>
  <c r="H23" i="13"/>
  <c r="H22" i="13"/>
  <c r="X5" i="29" l="1"/>
  <c r="F5" i="29"/>
  <c r="J19" i="35"/>
  <c r="P19" i="35"/>
  <c r="J19" i="34"/>
  <c r="P19" i="34"/>
  <c r="J19" i="33"/>
  <c r="P19" i="33"/>
  <c r="P19" i="32"/>
  <c r="J19" i="32"/>
  <c r="J19" i="30"/>
  <c r="P19" i="30"/>
  <c r="P19" i="24"/>
  <c r="K19" i="24"/>
  <c r="J19" i="24"/>
  <c r="Q19" i="23"/>
  <c r="P19" i="23"/>
  <c r="J19" i="23"/>
  <c r="P19" i="21"/>
  <c r="J19" i="21"/>
  <c r="Q19" i="17"/>
  <c r="P19" i="17"/>
  <c r="J19" i="17"/>
  <c r="J19" i="14"/>
  <c r="P19" i="14"/>
  <c r="J19" i="13"/>
  <c r="P19" i="13"/>
  <c r="N33" i="21"/>
  <c r="N33" i="19"/>
  <c r="N33" i="17"/>
  <c r="L33" i="15"/>
  <c r="N35" i="13"/>
  <c r="N33" i="11"/>
  <c r="D32" i="35" a="1"/>
  <c r="E32" i="35" s="1"/>
  <c r="F29" i="35"/>
  <c r="F28" i="35"/>
  <c r="L26" i="35"/>
  <c r="H26" i="35"/>
  <c r="L25" i="35"/>
  <c r="C25" i="35"/>
  <c r="L24" i="35"/>
  <c r="H24" i="35"/>
  <c r="C24" i="35"/>
  <c r="C23" i="35"/>
  <c r="L22" i="35"/>
  <c r="H23" i="35"/>
  <c r="C22" i="35"/>
  <c r="E16" i="35"/>
  <c r="D25" i="35" s="1"/>
  <c r="C38" i="35" s="1"/>
  <c r="C16" i="35"/>
  <c r="C12" i="35"/>
  <c r="B12" i="35"/>
  <c r="C26" i="35" s="1"/>
  <c r="A12" i="35"/>
  <c r="C11" i="35"/>
  <c r="B11" i="35"/>
  <c r="A11" i="35"/>
  <c r="C10" i="35"/>
  <c r="B10" i="35"/>
  <c r="A10" i="35"/>
  <c r="C9" i="35"/>
  <c r="A9" i="35"/>
  <c r="C8" i="35"/>
  <c r="A8" i="35"/>
  <c r="C7" i="35"/>
  <c r="B7" i="35"/>
  <c r="A7" i="35"/>
  <c r="C6" i="35"/>
  <c r="B6" i="35"/>
  <c r="A6" i="35"/>
  <c r="C5" i="35"/>
  <c r="B5" i="35"/>
  <c r="E18" i="35" s="1"/>
  <c r="A5" i="35"/>
  <c r="A1" i="35"/>
  <c r="G22" i="34"/>
  <c r="D32" i="34" a="1"/>
  <c r="E32" i="34" s="1"/>
  <c r="F29" i="34"/>
  <c r="F28" i="34"/>
  <c r="L26" i="34"/>
  <c r="H24" i="34"/>
  <c r="E16" i="34"/>
  <c r="C16" i="34"/>
  <c r="C12" i="34"/>
  <c r="B12" i="34"/>
  <c r="A12" i="34"/>
  <c r="C11" i="34"/>
  <c r="B11" i="34"/>
  <c r="A11" i="34"/>
  <c r="C10" i="34"/>
  <c r="B10" i="34"/>
  <c r="A10" i="34"/>
  <c r="C9" i="34"/>
  <c r="A9" i="34"/>
  <c r="C8" i="34"/>
  <c r="A8" i="34"/>
  <c r="C7" i="34"/>
  <c r="B7" i="34"/>
  <c r="A7" i="34"/>
  <c r="C6" i="34"/>
  <c r="B6" i="34"/>
  <c r="A6" i="34"/>
  <c r="C5" i="34"/>
  <c r="B5" i="34"/>
  <c r="E18" i="34" s="1"/>
  <c r="A5" i="34"/>
  <c r="A1" i="34"/>
  <c r="G32" i="33"/>
  <c r="D32" i="33" a="1"/>
  <c r="E32" i="33" s="1"/>
  <c r="F29" i="33"/>
  <c r="F28" i="33"/>
  <c r="L26" i="33"/>
  <c r="H26" i="33"/>
  <c r="L25" i="33"/>
  <c r="C25" i="33"/>
  <c r="D25" i="33" s="1"/>
  <c r="L24" i="33"/>
  <c r="C24" i="33"/>
  <c r="L23" i="33"/>
  <c r="H23" i="33"/>
  <c r="C23" i="33"/>
  <c r="D23" i="33" s="1"/>
  <c r="H22" i="33"/>
  <c r="C22" i="33"/>
  <c r="E16" i="33"/>
  <c r="C16" i="33"/>
  <c r="C12" i="33"/>
  <c r="B12" i="33"/>
  <c r="C26" i="33" s="1"/>
  <c r="A12" i="33"/>
  <c r="C11" i="33"/>
  <c r="B11" i="33"/>
  <c r="A11" i="33"/>
  <c r="C10" i="33"/>
  <c r="B10" i="33"/>
  <c r="D22" i="33" s="1"/>
  <c r="A10" i="33"/>
  <c r="C9" i="33"/>
  <c r="A9" i="33"/>
  <c r="C8" i="33"/>
  <c r="A8" i="33"/>
  <c r="C7" i="33"/>
  <c r="B7" i="33"/>
  <c r="A7" i="33"/>
  <c r="C6" i="33"/>
  <c r="B6" i="33"/>
  <c r="A6" i="33"/>
  <c r="C5" i="33"/>
  <c r="B5" i="33"/>
  <c r="E18" i="33" s="1"/>
  <c r="A5" i="33"/>
  <c r="A1" i="33"/>
  <c r="K29" i="32"/>
  <c r="B25" i="32"/>
  <c r="D32" i="32" a="1"/>
  <c r="F29" i="32"/>
  <c r="F28" i="32"/>
  <c r="H25" i="32"/>
  <c r="E16" i="32"/>
  <c r="C16" i="32"/>
  <c r="C12" i="32"/>
  <c r="B12" i="32"/>
  <c r="A12" i="32"/>
  <c r="C11" i="32"/>
  <c r="B11" i="32"/>
  <c r="A11" i="32"/>
  <c r="C10" i="32"/>
  <c r="B10" i="32"/>
  <c r="A10" i="32"/>
  <c r="C9" i="32"/>
  <c r="A9" i="32"/>
  <c r="C8" i="32"/>
  <c r="A8" i="32"/>
  <c r="C7" i="32"/>
  <c r="B7" i="32"/>
  <c r="A7" i="32"/>
  <c r="C6" i="32"/>
  <c r="B6" i="32"/>
  <c r="A6" i="32"/>
  <c r="C5" i="32"/>
  <c r="B5" i="32"/>
  <c r="E18" i="32" s="1"/>
  <c r="A5" i="32"/>
  <c r="A1" i="32"/>
  <c r="F32" i="31"/>
  <c r="D32" i="31" a="1"/>
  <c r="E32" i="31" s="1"/>
  <c r="F29" i="31"/>
  <c r="F28" i="31"/>
  <c r="E16" i="31"/>
  <c r="C16" i="31"/>
  <c r="C12" i="31"/>
  <c r="B12" i="31"/>
  <c r="C25" i="31" s="1"/>
  <c r="A12" i="31"/>
  <c r="C11" i="31"/>
  <c r="B11" i="31"/>
  <c r="A11" i="31"/>
  <c r="C10" i="31"/>
  <c r="B10" i="31"/>
  <c r="A10" i="31"/>
  <c r="C9" i="31"/>
  <c r="A9" i="31"/>
  <c r="C8" i="31"/>
  <c r="A8" i="31"/>
  <c r="C7" i="31"/>
  <c r="B7" i="31"/>
  <c r="A7" i="31"/>
  <c r="C6" i="31"/>
  <c r="B6" i="31"/>
  <c r="A6" i="31"/>
  <c r="C5" i="31"/>
  <c r="B5" i="31"/>
  <c r="E18" i="31" s="1"/>
  <c r="A5" i="31"/>
  <c r="A1" i="31"/>
  <c r="D32" i="30" a="1"/>
  <c r="E32" i="30" s="1"/>
  <c r="F29" i="30"/>
  <c r="F28" i="30"/>
  <c r="L26" i="30"/>
  <c r="H24" i="30"/>
  <c r="E16" i="30"/>
  <c r="C16" i="30"/>
  <c r="C12" i="30"/>
  <c r="B12" i="30"/>
  <c r="A12" i="30"/>
  <c r="C11" i="30"/>
  <c r="B11" i="30"/>
  <c r="A11" i="30"/>
  <c r="C10" i="30"/>
  <c r="B10" i="30"/>
  <c r="A10" i="30"/>
  <c r="C9" i="30"/>
  <c r="A9" i="30"/>
  <c r="C8" i="30"/>
  <c r="A8" i="30"/>
  <c r="C7" i="30"/>
  <c r="B7" i="30"/>
  <c r="A7" i="30"/>
  <c r="C6" i="30"/>
  <c r="B6" i="30"/>
  <c r="A6" i="30"/>
  <c r="C5" i="30"/>
  <c r="B5" i="30"/>
  <c r="E18" i="30" s="1"/>
  <c r="A5" i="30"/>
  <c r="A1" i="30"/>
  <c r="D32" i="28" a="1"/>
  <c r="E32" i="28" s="1"/>
  <c r="F29" i="28"/>
  <c r="F28" i="28"/>
  <c r="L26" i="28"/>
  <c r="H24" i="28"/>
  <c r="E16" i="28"/>
  <c r="C16" i="28"/>
  <c r="C12" i="28"/>
  <c r="B12" i="28"/>
  <c r="A12" i="28"/>
  <c r="C11" i="28"/>
  <c r="B11" i="28"/>
  <c r="A11" i="28"/>
  <c r="C10" i="28"/>
  <c r="B10" i="28"/>
  <c r="A10" i="28"/>
  <c r="C9" i="28"/>
  <c r="A9" i="28"/>
  <c r="C8" i="28"/>
  <c r="A8" i="28"/>
  <c r="C7" i="28"/>
  <c r="B7" i="28"/>
  <c r="A7" i="28"/>
  <c r="C6" i="28"/>
  <c r="B6" i="28"/>
  <c r="A6" i="28"/>
  <c r="C5" i="28"/>
  <c r="B5" i="28"/>
  <c r="E18" i="28" s="1"/>
  <c r="A5" i="28"/>
  <c r="A1" i="28"/>
  <c r="D32" i="27" a="1"/>
  <c r="F29" i="27"/>
  <c r="F28" i="27"/>
  <c r="E16" i="27"/>
  <c r="C16" i="27"/>
  <c r="C12" i="27"/>
  <c r="B12" i="27"/>
  <c r="A12" i="27"/>
  <c r="C11" i="27"/>
  <c r="B11" i="27"/>
  <c r="A11" i="27"/>
  <c r="C10" i="27"/>
  <c r="B10" i="27"/>
  <c r="A10" i="27"/>
  <c r="C9" i="27"/>
  <c r="A9" i="27"/>
  <c r="C8" i="27"/>
  <c r="A8" i="27"/>
  <c r="C7" i="27"/>
  <c r="B7" i="27"/>
  <c r="A7" i="27"/>
  <c r="C6" i="27"/>
  <c r="B6" i="27"/>
  <c r="A6" i="27"/>
  <c r="C5" i="27"/>
  <c r="B5" i="27"/>
  <c r="E18" i="27" s="1"/>
  <c r="A5" i="27"/>
  <c r="A1" i="27"/>
  <c r="G32" i="26"/>
  <c r="D32" i="26" a="1"/>
  <c r="F29" i="26"/>
  <c r="F28" i="26"/>
  <c r="C25" i="26"/>
  <c r="L22" i="26"/>
  <c r="E16" i="26"/>
  <c r="D25" i="26" s="1"/>
  <c r="C16" i="26"/>
  <c r="C12" i="26"/>
  <c r="B12" i="26"/>
  <c r="A12" i="26"/>
  <c r="C11" i="26"/>
  <c r="B11" i="26"/>
  <c r="A11" i="26"/>
  <c r="C10" i="26"/>
  <c r="B10" i="26"/>
  <c r="A10" i="26"/>
  <c r="C9" i="26"/>
  <c r="A9" i="26"/>
  <c r="C8" i="26"/>
  <c r="A8" i="26"/>
  <c r="C7" i="26"/>
  <c r="B7" i="26"/>
  <c r="A7" i="26"/>
  <c r="C6" i="26"/>
  <c r="B6" i="26"/>
  <c r="A6" i="26"/>
  <c r="C5" i="26"/>
  <c r="B5" i="26"/>
  <c r="E18" i="26" s="1"/>
  <c r="A5" i="26"/>
  <c r="A1" i="26"/>
  <c r="F32" i="24"/>
  <c r="D32" i="24" a="1"/>
  <c r="E32" i="24" s="1"/>
  <c r="F29" i="24"/>
  <c r="F28" i="24"/>
  <c r="E16" i="24"/>
  <c r="C16" i="24"/>
  <c r="C12" i="24"/>
  <c r="B12" i="24"/>
  <c r="C25" i="24" s="1"/>
  <c r="A12" i="24"/>
  <c r="C11" i="24"/>
  <c r="B11" i="24"/>
  <c r="A11" i="24"/>
  <c r="C10" i="24"/>
  <c r="B10" i="24"/>
  <c r="A10" i="24"/>
  <c r="C9" i="24"/>
  <c r="A9" i="24"/>
  <c r="C8" i="24"/>
  <c r="A8" i="24"/>
  <c r="C7" i="24"/>
  <c r="B7" i="24"/>
  <c r="A7" i="24"/>
  <c r="C6" i="24"/>
  <c r="B6" i="24"/>
  <c r="A6" i="24"/>
  <c r="C5" i="24"/>
  <c r="B5" i="24"/>
  <c r="E18" i="24" s="1"/>
  <c r="A5" i="24"/>
  <c r="A1" i="24"/>
  <c r="D32" i="23" a="1"/>
  <c r="E32" i="23" s="1"/>
  <c r="F29" i="23"/>
  <c r="F28" i="23"/>
  <c r="E16" i="23"/>
  <c r="C16" i="23"/>
  <c r="C12" i="23"/>
  <c r="B12" i="23"/>
  <c r="C25" i="23" s="1"/>
  <c r="A12" i="23"/>
  <c r="C11" i="23"/>
  <c r="B11" i="23"/>
  <c r="A11" i="23"/>
  <c r="C10" i="23"/>
  <c r="B10" i="23"/>
  <c r="A10" i="23"/>
  <c r="C9" i="23"/>
  <c r="A9" i="23"/>
  <c r="C8" i="23"/>
  <c r="A8" i="23"/>
  <c r="C7" i="23"/>
  <c r="B7" i="23"/>
  <c r="A7" i="23"/>
  <c r="C6" i="23"/>
  <c r="B6" i="23"/>
  <c r="A6" i="23"/>
  <c r="C5" i="23"/>
  <c r="B5" i="23"/>
  <c r="E18" i="23" s="1"/>
  <c r="A5" i="23"/>
  <c r="A1" i="23"/>
  <c r="B13" i="16"/>
  <c r="D32" i="22" a="1"/>
  <c r="E32" i="22" s="1"/>
  <c r="F29" i="22"/>
  <c r="F28" i="22"/>
  <c r="L26" i="22"/>
  <c r="H24" i="22"/>
  <c r="C23" i="22"/>
  <c r="E16" i="22"/>
  <c r="C16" i="22"/>
  <c r="C12" i="22"/>
  <c r="B12" i="22"/>
  <c r="A12" i="22"/>
  <c r="C11" i="22"/>
  <c r="B11" i="22"/>
  <c r="A11" i="22"/>
  <c r="C10" i="22"/>
  <c r="B10" i="22"/>
  <c r="A10" i="22"/>
  <c r="C9" i="22"/>
  <c r="A9" i="22"/>
  <c r="C8" i="22"/>
  <c r="A8" i="22"/>
  <c r="C7" i="22"/>
  <c r="B7" i="22"/>
  <c r="A7" i="22"/>
  <c r="C6" i="22"/>
  <c r="B6" i="22"/>
  <c r="A6" i="22"/>
  <c r="C5" i="22"/>
  <c r="B5" i="22"/>
  <c r="E18" i="22" s="1"/>
  <c r="A5" i="22"/>
  <c r="A1" i="22"/>
  <c r="D32" i="21" a="1"/>
  <c r="E32" i="21" s="1"/>
  <c r="F29" i="21"/>
  <c r="F28" i="21"/>
  <c r="I24" i="21"/>
  <c r="C23" i="21"/>
  <c r="E16" i="21"/>
  <c r="C16" i="21"/>
  <c r="C12" i="21"/>
  <c r="B12" i="21"/>
  <c r="O26" i="21" s="1"/>
  <c r="A12" i="21"/>
  <c r="C11" i="21"/>
  <c r="B11" i="21"/>
  <c r="A11" i="21"/>
  <c r="C10" i="21"/>
  <c r="B10" i="21"/>
  <c r="A10" i="21"/>
  <c r="C9" i="21"/>
  <c r="A9" i="21"/>
  <c r="C8" i="21"/>
  <c r="A8" i="21"/>
  <c r="C7" i="21"/>
  <c r="B7" i="21"/>
  <c r="A7" i="21"/>
  <c r="C6" i="21"/>
  <c r="B6" i="21"/>
  <c r="A6" i="21"/>
  <c r="C5" i="21"/>
  <c r="B5" i="21"/>
  <c r="E18" i="21" s="1"/>
  <c r="A5" i="21"/>
  <c r="A1" i="21"/>
  <c r="D32" i="19" a="1"/>
  <c r="E32" i="19" s="1"/>
  <c r="F29" i="19"/>
  <c r="F28" i="19"/>
  <c r="O26" i="19"/>
  <c r="E16" i="19"/>
  <c r="C16" i="19"/>
  <c r="C12" i="19"/>
  <c r="B12" i="19"/>
  <c r="C23" i="19" s="1"/>
  <c r="A12" i="19"/>
  <c r="C11" i="19"/>
  <c r="B11" i="19"/>
  <c r="A11" i="19"/>
  <c r="C10" i="19"/>
  <c r="B10" i="19"/>
  <c r="A10" i="19"/>
  <c r="C9" i="19"/>
  <c r="A9" i="19"/>
  <c r="C8" i="19"/>
  <c r="A8" i="19"/>
  <c r="C7" i="19"/>
  <c r="B7" i="19"/>
  <c r="A7" i="19"/>
  <c r="C6" i="19"/>
  <c r="B6" i="19"/>
  <c r="A6" i="19"/>
  <c r="C5" i="19"/>
  <c r="B5" i="19"/>
  <c r="E18" i="19" s="1"/>
  <c r="A5" i="19"/>
  <c r="A1" i="19"/>
  <c r="D32" i="17" a="1"/>
  <c r="E32" i="17" s="1"/>
  <c r="F29" i="17"/>
  <c r="F28" i="17"/>
  <c r="E16" i="17"/>
  <c r="C16" i="17"/>
  <c r="C12" i="17"/>
  <c r="B12" i="17"/>
  <c r="C26" i="17" s="1"/>
  <c r="A12" i="17"/>
  <c r="C11" i="17"/>
  <c r="B11" i="17"/>
  <c r="A11" i="17"/>
  <c r="C10" i="17"/>
  <c r="B10" i="17"/>
  <c r="A10" i="17"/>
  <c r="C9" i="17"/>
  <c r="A9" i="17"/>
  <c r="C8" i="17"/>
  <c r="A8" i="17"/>
  <c r="C7" i="17"/>
  <c r="B7" i="17"/>
  <c r="A7" i="17"/>
  <c r="C6" i="17"/>
  <c r="B6" i="17"/>
  <c r="A6" i="17"/>
  <c r="C5" i="17"/>
  <c r="B5" i="17"/>
  <c r="E18" i="17" s="1"/>
  <c r="A5" i="17"/>
  <c r="A1" i="17"/>
  <c r="D32" i="16" a="1"/>
  <c r="E32" i="16" s="1"/>
  <c r="F29" i="16"/>
  <c r="F28" i="16"/>
  <c r="L26" i="16"/>
  <c r="H24" i="16"/>
  <c r="C23" i="16"/>
  <c r="E16" i="16"/>
  <c r="C16" i="16"/>
  <c r="C12" i="16"/>
  <c r="B12" i="16"/>
  <c r="A12" i="16"/>
  <c r="C11" i="16"/>
  <c r="B11" i="16"/>
  <c r="A11" i="16"/>
  <c r="C10" i="16"/>
  <c r="B10" i="16"/>
  <c r="D23" i="16" s="1"/>
  <c r="C36" i="16" s="1"/>
  <c r="A10" i="16"/>
  <c r="C9" i="16"/>
  <c r="A9" i="16"/>
  <c r="C8" i="16"/>
  <c r="A8" i="16"/>
  <c r="C7" i="16"/>
  <c r="B7" i="16"/>
  <c r="A7" i="16"/>
  <c r="C6" i="16"/>
  <c r="B6" i="16"/>
  <c r="A6" i="16"/>
  <c r="C5" i="16"/>
  <c r="B5" i="16"/>
  <c r="E18" i="16" s="1"/>
  <c r="A5" i="16"/>
  <c r="A1" i="16"/>
  <c r="D32" i="15" a="1"/>
  <c r="E32" i="15" s="1"/>
  <c r="F29" i="15"/>
  <c r="F28" i="15"/>
  <c r="E16" i="15"/>
  <c r="C16" i="15"/>
  <c r="C12" i="15"/>
  <c r="B12" i="15"/>
  <c r="C26" i="15" s="1"/>
  <c r="A12" i="15"/>
  <c r="C11" i="15"/>
  <c r="B11" i="15"/>
  <c r="A11" i="15"/>
  <c r="C10" i="15"/>
  <c r="B10" i="15"/>
  <c r="A10" i="15"/>
  <c r="C9" i="15"/>
  <c r="A9" i="15"/>
  <c r="C8" i="15"/>
  <c r="A8" i="15"/>
  <c r="C7" i="15"/>
  <c r="B7" i="15"/>
  <c r="A7" i="15"/>
  <c r="C6" i="15"/>
  <c r="B6" i="15"/>
  <c r="A6" i="15"/>
  <c r="C5" i="15"/>
  <c r="B5" i="15"/>
  <c r="E18" i="15" s="1"/>
  <c r="A5" i="15"/>
  <c r="A1" i="15"/>
  <c r="D32" i="14" a="1"/>
  <c r="E32" i="14" s="1"/>
  <c r="F29" i="14"/>
  <c r="F28" i="14"/>
  <c r="I24" i="14"/>
  <c r="E16" i="14"/>
  <c r="C16" i="14"/>
  <c r="C12" i="14"/>
  <c r="B12" i="14"/>
  <c r="C23" i="14" s="1"/>
  <c r="A12" i="14"/>
  <c r="C11" i="14"/>
  <c r="B11" i="14"/>
  <c r="A11" i="14"/>
  <c r="C10" i="14"/>
  <c r="B10" i="14"/>
  <c r="A10" i="14"/>
  <c r="C9" i="14"/>
  <c r="A9" i="14"/>
  <c r="C8" i="14"/>
  <c r="A8" i="14"/>
  <c r="C7" i="14"/>
  <c r="B7" i="14"/>
  <c r="A7" i="14"/>
  <c r="C6" i="14"/>
  <c r="B6" i="14"/>
  <c r="A6" i="14"/>
  <c r="C5" i="14"/>
  <c r="B5" i="14"/>
  <c r="E18" i="14" s="1"/>
  <c r="A5" i="14"/>
  <c r="A1" i="14"/>
  <c r="D32" i="13" a="1"/>
  <c r="E32" i="13" s="1"/>
  <c r="F29" i="13"/>
  <c r="F28" i="13"/>
  <c r="E16" i="13"/>
  <c r="C16" i="13"/>
  <c r="C12" i="13"/>
  <c r="B12" i="13"/>
  <c r="C23" i="13" s="1"/>
  <c r="A12" i="13"/>
  <c r="C11" i="13"/>
  <c r="B11" i="13"/>
  <c r="A11" i="13"/>
  <c r="C10" i="13"/>
  <c r="B10" i="13"/>
  <c r="A10" i="13"/>
  <c r="C9" i="13"/>
  <c r="A9" i="13"/>
  <c r="C8" i="13"/>
  <c r="A8" i="13"/>
  <c r="C7" i="13"/>
  <c r="B7" i="13"/>
  <c r="A7" i="13"/>
  <c r="C6" i="13"/>
  <c r="B6" i="13"/>
  <c r="A6" i="13"/>
  <c r="C5" i="13"/>
  <c r="B5" i="13"/>
  <c r="E18" i="13" s="1"/>
  <c r="A5" i="13"/>
  <c r="A1" i="13"/>
  <c r="D32" i="11" a="1"/>
  <c r="E32" i="11" s="1"/>
  <c r="F29" i="11"/>
  <c r="F28" i="11"/>
  <c r="E16" i="11"/>
  <c r="C16" i="11"/>
  <c r="C12" i="11"/>
  <c r="B12" i="11"/>
  <c r="O26" i="11" s="1"/>
  <c r="A12" i="11"/>
  <c r="C11" i="11"/>
  <c r="B11" i="11"/>
  <c r="A11" i="11"/>
  <c r="C10" i="11"/>
  <c r="B10" i="11"/>
  <c r="A10" i="11"/>
  <c r="C9" i="11"/>
  <c r="A9" i="11"/>
  <c r="C8" i="11"/>
  <c r="A8" i="11"/>
  <c r="C7" i="11"/>
  <c r="B7" i="11"/>
  <c r="A7" i="11"/>
  <c r="C6" i="11"/>
  <c r="B6" i="11"/>
  <c r="A6" i="11"/>
  <c r="C5" i="11"/>
  <c r="B5" i="11"/>
  <c r="E18" i="11" s="1"/>
  <c r="A5" i="11"/>
  <c r="A1" i="11"/>
  <c r="D32" i="10" a="1"/>
  <c r="E32" i="10" s="1"/>
  <c r="F29" i="10"/>
  <c r="F28" i="10"/>
  <c r="E16" i="10"/>
  <c r="C16" i="10"/>
  <c r="C12" i="10"/>
  <c r="B12" i="10"/>
  <c r="O26" i="10" s="1"/>
  <c r="A12" i="10"/>
  <c r="C11" i="10"/>
  <c r="B11" i="10"/>
  <c r="A11" i="10"/>
  <c r="C10" i="10"/>
  <c r="B10" i="10"/>
  <c r="A10" i="10"/>
  <c r="C9" i="10"/>
  <c r="A9" i="10"/>
  <c r="C8" i="10"/>
  <c r="A8" i="10"/>
  <c r="C7" i="10"/>
  <c r="B7" i="10"/>
  <c r="A7" i="10"/>
  <c r="C6" i="10"/>
  <c r="B6" i="10"/>
  <c r="A6" i="10"/>
  <c r="C5" i="10"/>
  <c r="B5" i="10"/>
  <c r="E18" i="10" s="1"/>
  <c r="A5" i="10"/>
  <c r="A1" i="10"/>
  <c r="D32" i="9" a="1"/>
  <c r="E32" i="9" s="1"/>
  <c r="F29" i="9"/>
  <c r="F28" i="9"/>
  <c r="E16" i="9"/>
  <c r="C16" i="9"/>
  <c r="C12" i="9"/>
  <c r="B12" i="9"/>
  <c r="C22" i="9" s="1"/>
  <c r="A12" i="9"/>
  <c r="C11" i="9"/>
  <c r="B11" i="9"/>
  <c r="A11" i="9"/>
  <c r="C10" i="9"/>
  <c r="B10" i="9"/>
  <c r="A10" i="9"/>
  <c r="C9" i="9"/>
  <c r="A9" i="9"/>
  <c r="C8" i="9"/>
  <c r="A8" i="9"/>
  <c r="C7" i="9"/>
  <c r="B7" i="9"/>
  <c r="A7" i="9"/>
  <c r="C6" i="9"/>
  <c r="B6" i="9"/>
  <c r="A6" i="9"/>
  <c r="C5" i="9"/>
  <c r="B5" i="9"/>
  <c r="E18" i="9" s="1"/>
  <c r="A5" i="9"/>
  <c r="A1" i="9"/>
  <c r="H28" i="2"/>
  <c r="B50" i="2"/>
  <c r="B51" i="2"/>
  <c r="B52" i="2"/>
  <c r="B53" i="2"/>
  <c r="B49" i="2"/>
  <c r="C50" i="2"/>
  <c r="C51" i="2"/>
  <c r="C52" i="2"/>
  <c r="C53" i="2"/>
  <c r="C49" i="2"/>
  <c r="H29" i="2"/>
  <c r="B48" i="2" s="1"/>
  <c r="C45" i="2"/>
  <c r="C46" i="2"/>
  <c r="C47" i="2"/>
  <c r="C48" i="2"/>
  <c r="C44" i="2"/>
  <c r="I26" i="2"/>
  <c r="I25" i="2"/>
  <c r="I24" i="2"/>
  <c r="I23" i="2"/>
  <c r="I22" i="2"/>
  <c r="F32" i="23" l="1"/>
  <c r="N22" i="23"/>
  <c r="D23" i="21"/>
  <c r="C36" i="21" s="1"/>
  <c r="I24" i="19"/>
  <c r="D23" i="19"/>
  <c r="C36" i="19" s="1"/>
  <c r="O26" i="17"/>
  <c r="F32" i="17"/>
  <c r="O22" i="17"/>
  <c r="I24" i="17"/>
  <c r="C25" i="17"/>
  <c r="C25" i="15"/>
  <c r="O26" i="15"/>
  <c r="O22" i="15"/>
  <c r="F32" i="15"/>
  <c r="I24" i="15"/>
  <c r="C23" i="11"/>
  <c r="D23" i="11" s="1"/>
  <c r="C36" i="11" s="1"/>
  <c r="I22" i="9"/>
  <c r="O26" i="9"/>
  <c r="I24" i="13"/>
  <c r="O26" i="13"/>
  <c r="O26" i="14"/>
  <c r="C36" i="13"/>
  <c r="I24" i="11"/>
  <c r="C23" i="10"/>
  <c r="I24" i="10"/>
  <c r="O22" i="9"/>
  <c r="C23" i="9"/>
  <c r="I24" i="9"/>
  <c r="B28" i="35"/>
  <c r="D26" i="35"/>
  <c r="C39" i="35" s="1"/>
  <c r="L28" i="35"/>
  <c r="M28" i="35" s="1"/>
  <c r="H32" i="35"/>
  <c r="D32" i="35"/>
  <c r="D23" i="35"/>
  <c r="D22" i="35"/>
  <c r="H22" i="35"/>
  <c r="F32" i="35"/>
  <c r="C28" i="35"/>
  <c r="D24" i="35"/>
  <c r="G32" i="35"/>
  <c r="L23" i="35"/>
  <c r="K28" i="35" s="1"/>
  <c r="H25" i="35"/>
  <c r="H32" i="34"/>
  <c r="C26" i="34"/>
  <c r="H25" i="34"/>
  <c r="L23" i="34"/>
  <c r="C22" i="34"/>
  <c r="C23" i="34"/>
  <c r="D23" i="34" s="1"/>
  <c r="D32" i="34"/>
  <c r="H22" i="34"/>
  <c r="C24" i="34"/>
  <c r="D24" i="34" s="1"/>
  <c r="L24" i="34"/>
  <c r="F32" i="34"/>
  <c r="L22" i="34"/>
  <c r="H23" i="34"/>
  <c r="C25" i="34"/>
  <c r="D25" i="34" s="1"/>
  <c r="L25" i="34"/>
  <c r="H26" i="34"/>
  <c r="G32" i="34"/>
  <c r="C38" i="33"/>
  <c r="C36" i="33"/>
  <c r="H32" i="33"/>
  <c r="C35" i="33"/>
  <c r="D24" i="33"/>
  <c r="D26" i="33"/>
  <c r="C29" i="33"/>
  <c r="D32" i="33"/>
  <c r="C28" i="33"/>
  <c r="E22" i="33" s="1"/>
  <c r="B35" i="33" s="1"/>
  <c r="B28" i="33"/>
  <c r="F32" i="33"/>
  <c r="L22" i="33"/>
  <c r="H24" i="33"/>
  <c r="G28" i="33" s="1"/>
  <c r="H25" i="33"/>
  <c r="H28" i="33" s="1"/>
  <c r="I28" i="33" s="1"/>
  <c r="H26" i="32"/>
  <c r="L24" i="32"/>
  <c r="C23" i="32"/>
  <c r="D23" i="32" s="1"/>
  <c r="H22" i="32"/>
  <c r="L26" i="32"/>
  <c r="C26" i="32"/>
  <c r="H24" i="32"/>
  <c r="L23" i="32"/>
  <c r="L25" i="32"/>
  <c r="C25" i="32"/>
  <c r="D25" i="32" s="1"/>
  <c r="H23" i="32"/>
  <c r="L22" i="32"/>
  <c r="C24" i="32"/>
  <c r="D24" i="32" s="1"/>
  <c r="C22" i="32"/>
  <c r="D22" i="32" s="1"/>
  <c r="D26" i="32"/>
  <c r="H32" i="32"/>
  <c r="D32" i="32"/>
  <c r="G32" i="32"/>
  <c r="F32" i="32"/>
  <c r="E32" i="32"/>
  <c r="M26" i="31"/>
  <c r="M22" i="31"/>
  <c r="C26" i="31"/>
  <c r="H25" i="31"/>
  <c r="M23" i="31"/>
  <c r="C22" i="31"/>
  <c r="H26" i="31"/>
  <c r="M24" i="31"/>
  <c r="C23" i="31"/>
  <c r="D23" i="31" s="1"/>
  <c r="H22" i="31"/>
  <c r="M25" i="31"/>
  <c r="C24" i="31"/>
  <c r="D24" i="31" s="1"/>
  <c r="H23" i="31"/>
  <c r="H24" i="31"/>
  <c r="D25" i="31"/>
  <c r="G32" i="31"/>
  <c r="D32" i="31"/>
  <c r="H32" i="31"/>
  <c r="H32" i="30"/>
  <c r="C26" i="30"/>
  <c r="D26" i="30" s="1"/>
  <c r="H25" i="30"/>
  <c r="L23" i="30"/>
  <c r="C22" i="30"/>
  <c r="C23" i="30"/>
  <c r="D23" i="30" s="1"/>
  <c r="D32" i="30"/>
  <c r="H22" i="30"/>
  <c r="C24" i="30"/>
  <c r="D24" i="30" s="1"/>
  <c r="L24" i="30"/>
  <c r="F32" i="30"/>
  <c r="L22" i="30"/>
  <c r="H23" i="30"/>
  <c r="C25" i="30"/>
  <c r="D25" i="30" s="1"/>
  <c r="L25" i="30"/>
  <c r="H26" i="30"/>
  <c r="G32" i="30"/>
  <c r="H32" i="28"/>
  <c r="C26" i="28"/>
  <c r="H25" i="28"/>
  <c r="L23" i="28"/>
  <c r="C22" i="28"/>
  <c r="C23" i="28"/>
  <c r="D23" i="28" s="1"/>
  <c r="D26" i="28"/>
  <c r="D32" i="28"/>
  <c r="H22" i="28"/>
  <c r="C24" i="28"/>
  <c r="D24" i="28" s="1"/>
  <c r="L24" i="28"/>
  <c r="F32" i="28"/>
  <c r="L22" i="28"/>
  <c r="H23" i="28"/>
  <c r="C25" i="28"/>
  <c r="D25" i="28" s="1"/>
  <c r="L25" i="28"/>
  <c r="H26" i="28"/>
  <c r="G32" i="28"/>
  <c r="C26" i="27"/>
  <c r="D26" i="27" s="1"/>
  <c r="H25" i="27"/>
  <c r="M23" i="27"/>
  <c r="C22" i="27"/>
  <c r="H26" i="27"/>
  <c r="M24" i="27"/>
  <c r="C23" i="27"/>
  <c r="D23" i="27" s="1"/>
  <c r="H22" i="27"/>
  <c r="C24" i="27"/>
  <c r="E32" i="27"/>
  <c r="H32" i="27"/>
  <c r="D32" i="27"/>
  <c r="H23" i="27"/>
  <c r="M25" i="27"/>
  <c r="F32" i="27"/>
  <c r="H24" i="27"/>
  <c r="M26" i="27"/>
  <c r="M22" i="27"/>
  <c r="C25" i="27"/>
  <c r="D25" i="27" s="1"/>
  <c r="G32" i="27"/>
  <c r="D24" i="27"/>
  <c r="C38" i="26"/>
  <c r="C26" i="26"/>
  <c r="H25" i="26"/>
  <c r="L23" i="26"/>
  <c r="L28" i="26" s="1"/>
  <c r="M28" i="26" s="1"/>
  <c r="C22" i="26"/>
  <c r="H26" i="26"/>
  <c r="L24" i="26"/>
  <c r="C23" i="26"/>
  <c r="D23" i="26" s="1"/>
  <c r="H22" i="26"/>
  <c r="C24" i="26"/>
  <c r="H24" i="26"/>
  <c r="L26" i="26"/>
  <c r="E32" i="26"/>
  <c r="H32" i="26"/>
  <c r="D32" i="26"/>
  <c r="D26" i="26"/>
  <c r="H23" i="26"/>
  <c r="L25" i="26"/>
  <c r="F32" i="26"/>
  <c r="H24" i="24"/>
  <c r="L22" i="24"/>
  <c r="C26" i="24"/>
  <c r="D26" i="24" s="1"/>
  <c r="H25" i="24"/>
  <c r="L23" i="24"/>
  <c r="C22" i="24"/>
  <c r="C24" i="24"/>
  <c r="D24" i="24" s="1"/>
  <c r="H26" i="24"/>
  <c r="L24" i="24"/>
  <c r="C23" i="24"/>
  <c r="H22" i="24"/>
  <c r="L25" i="24"/>
  <c r="H23" i="24"/>
  <c r="L26" i="24"/>
  <c r="D25" i="24"/>
  <c r="G32" i="24"/>
  <c r="D32" i="24"/>
  <c r="H32" i="24"/>
  <c r="C26" i="23"/>
  <c r="D26" i="23" s="1"/>
  <c r="I25" i="23"/>
  <c r="N23" i="23"/>
  <c r="C22" i="23"/>
  <c r="D22" i="23" s="1"/>
  <c r="I26" i="23"/>
  <c r="N24" i="23"/>
  <c r="C23" i="23"/>
  <c r="I22" i="23"/>
  <c r="N25" i="23"/>
  <c r="C24" i="23"/>
  <c r="D24" i="23" s="1"/>
  <c r="I23" i="23"/>
  <c r="I24" i="23"/>
  <c r="N26" i="23"/>
  <c r="D25" i="23"/>
  <c r="G32" i="23"/>
  <c r="D32" i="23"/>
  <c r="H32" i="23"/>
  <c r="D23" i="22"/>
  <c r="C36" i="22" s="1"/>
  <c r="H32" i="22"/>
  <c r="D32" i="22"/>
  <c r="C26" i="22"/>
  <c r="D26" i="22" s="1"/>
  <c r="H25" i="22"/>
  <c r="L23" i="22"/>
  <c r="C22" i="22"/>
  <c r="H22" i="22"/>
  <c r="C24" i="22"/>
  <c r="D24" i="22" s="1"/>
  <c r="L24" i="22"/>
  <c r="F32" i="22"/>
  <c r="L22" i="22"/>
  <c r="H23" i="22"/>
  <c r="C25" i="22"/>
  <c r="D25" i="22" s="1"/>
  <c r="L25" i="22"/>
  <c r="H26" i="22"/>
  <c r="G32" i="22"/>
  <c r="H32" i="21"/>
  <c r="D32" i="21"/>
  <c r="C26" i="21"/>
  <c r="D26" i="21" s="1"/>
  <c r="I25" i="21"/>
  <c r="O23" i="21"/>
  <c r="C22" i="21"/>
  <c r="I22" i="21"/>
  <c r="C24" i="21"/>
  <c r="O24" i="21"/>
  <c r="F32" i="21"/>
  <c r="O22" i="21"/>
  <c r="I23" i="21"/>
  <c r="C25" i="21"/>
  <c r="D25" i="21" s="1"/>
  <c r="O25" i="21"/>
  <c r="I26" i="21"/>
  <c r="G32" i="21"/>
  <c r="H32" i="19"/>
  <c r="D32" i="19"/>
  <c r="C26" i="19"/>
  <c r="D26" i="19" s="1"/>
  <c r="I25" i="19"/>
  <c r="O23" i="19"/>
  <c r="C22" i="19"/>
  <c r="I22" i="19"/>
  <c r="C24" i="19"/>
  <c r="D24" i="19" s="1"/>
  <c r="O24" i="19"/>
  <c r="F32" i="19"/>
  <c r="O22" i="19"/>
  <c r="I23" i="19"/>
  <c r="C25" i="19"/>
  <c r="D25" i="19" s="1"/>
  <c r="O25" i="19"/>
  <c r="I26" i="19"/>
  <c r="G32" i="19"/>
  <c r="D26" i="17"/>
  <c r="C39" i="17" s="1"/>
  <c r="I23" i="17"/>
  <c r="C24" i="17"/>
  <c r="D24" i="17" s="1"/>
  <c r="O25" i="17"/>
  <c r="G32" i="17"/>
  <c r="I22" i="17"/>
  <c r="C23" i="17"/>
  <c r="D23" i="17" s="1"/>
  <c r="O24" i="17"/>
  <c r="I26" i="17"/>
  <c r="D32" i="17"/>
  <c r="H32" i="17"/>
  <c r="C22" i="17"/>
  <c r="O23" i="17"/>
  <c r="I25" i="17"/>
  <c r="H32" i="16"/>
  <c r="D32" i="16"/>
  <c r="C26" i="16"/>
  <c r="D26" i="16" s="1"/>
  <c r="H25" i="16"/>
  <c r="L23" i="16"/>
  <c r="C22" i="16"/>
  <c r="H22" i="16"/>
  <c r="C24" i="16"/>
  <c r="D24" i="16" s="1"/>
  <c r="L24" i="16"/>
  <c r="F32" i="16"/>
  <c r="L22" i="16"/>
  <c r="H23" i="16"/>
  <c r="C25" i="16"/>
  <c r="D25" i="16" s="1"/>
  <c r="L25" i="16"/>
  <c r="H26" i="16"/>
  <c r="G32" i="16"/>
  <c r="D26" i="15"/>
  <c r="I23" i="15"/>
  <c r="C24" i="15"/>
  <c r="D24" i="15" s="1"/>
  <c r="D25" i="15"/>
  <c r="O25" i="15"/>
  <c r="G32" i="15"/>
  <c r="I22" i="15"/>
  <c r="C23" i="15"/>
  <c r="D23" i="15" s="1"/>
  <c r="O24" i="15"/>
  <c r="I26" i="15"/>
  <c r="D32" i="15"/>
  <c r="H32" i="15"/>
  <c r="C22" i="15"/>
  <c r="O23" i="15"/>
  <c r="I25" i="15"/>
  <c r="C36" i="14"/>
  <c r="H32" i="14"/>
  <c r="D32" i="14"/>
  <c r="C26" i="14"/>
  <c r="D26" i="14" s="1"/>
  <c r="I25" i="14"/>
  <c r="O23" i="14"/>
  <c r="C22" i="14"/>
  <c r="I22" i="14"/>
  <c r="C24" i="14"/>
  <c r="D24" i="14" s="1"/>
  <c r="O24" i="14"/>
  <c r="F32" i="14"/>
  <c r="O22" i="14"/>
  <c r="I23" i="14"/>
  <c r="C25" i="14"/>
  <c r="D25" i="14" s="1"/>
  <c r="O25" i="14"/>
  <c r="I26" i="14"/>
  <c r="G32" i="14"/>
  <c r="H32" i="13"/>
  <c r="D32" i="13"/>
  <c r="C26" i="13"/>
  <c r="I25" i="13"/>
  <c r="O23" i="13"/>
  <c r="C22" i="13"/>
  <c r="I22" i="13"/>
  <c r="C24" i="13"/>
  <c r="O24" i="13"/>
  <c r="F32" i="13"/>
  <c r="O22" i="13"/>
  <c r="I23" i="13"/>
  <c r="C25" i="13"/>
  <c r="O25" i="13"/>
  <c r="I26" i="13"/>
  <c r="G32" i="13"/>
  <c r="H32" i="11"/>
  <c r="D32" i="11"/>
  <c r="C26" i="11"/>
  <c r="D26" i="11" s="1"/>
  <c r="I25" i="11"/>
  <c r="O23" i="11"/>
  <c r="C22" i="11"/>
  <c r="I22" i="11"/>
  <c r="C24" i="11"/>
  <c r="D24" i="11" s="1"/>
  <c r="O24" i="11"/>
  <c r="F32" i="11"/>
  <c r="O22" i="11"/>
  <c r="I23" i="11"/>
  <c r="C25" i="11"/>
  <c r="D25" i="11" s="1"/>
  <c r="O25" i="11"/>
  <c r="I26" i="11"/>
  <c r="G32" i="11"/>
  <c r="D23" i="10"/>
  <c r="C36" i="10" s="1"/>
  <c r="H32" i="10"/>
  <c r="D32" i="10"/>
  <c r="C26" i="10"/>
  <c r="D26" i="10" s="1"/>
  <c r="I25" i="10"/>
  <c r="O23" i="10"/>
  <c r="C22" i="10"/>
  <c r="I22" i="10"/>
  <c r="C24" i="10"/>
  <c r="D24" i="10" s="1"/>
  <c r="O24" i="10"/>
  <c r="F32" i="10"/>
  <c r="O22" i="10"/>
  <c r="I23" i="10"/>
  <c r="C25" i="10"/>
  <c r="D25" i="10" s="1"/>
  <c r="O25" i="10"/>
  <c r="I26" i="10"/>
  <c r="G32" i="10"/>
  <c r="D23" i="9"/>
  <c r="C36" i="9" s="1"/>
  <c r="H32" i="9"/>
  <c r="D32" i="9"/>
  <c r="C26" i="9"/>
  <c r="D26" i="9" s="1"/>
  <c r="I25" i="9"/>
  <c r="O23" i="9"/>
  <c r="C24" i="9"/>
  <c r="D24" i="9" s="1"/>
  <c r="O24" i="9"/>
  <c r="F32" i="9"/>
  <c r="I23" i="9"/>
  <c r="C25" i="9"/>
  <c r="D25" i="9" s="1"/>
  <c r="O25" i="9"/>
  <c r="I26" i="9"/>
  <c r="G32" i="9"/>
  <c r="B47" i="2"/>
  <c r="B46" i="2"/>
  <c r="B44" i="2"/>
  <c r="B45" i="2"/>
  <c r="C16" i="2"/>
  <c r="G16" i="1"/>
  <c r="B5" i="1"/>
  <c r="B5" i="2" s="1"/>
  <c r="E18" i="2" s="1"/>
  <c r="G14" i="1"/>
  <c r="E16" i="2"/>
  <c r="G9" i="1"/>
  <c r="G10" i="1"/>
  <c r="G11" i="1"/>
  <c r="G12" i="1"/>
  <c r="G13" i="1"/>
  <c r="G8" i="1"/>
  <c r="O19" i="27" l="1"/>
  <c r="N19" i="27"/>
  <c r="I19" i="27"/>
  <c r="H19" i="27"/>
  <c r="K28" i="23"/>
  <c r="E26" i="35"/>
  <c r="B39" i="35" s="1"/>
  <c r="C36" i="35"/>
  <c r="E23" i="35"/>
  <c r="B36" i="35" s="1"/>
  <c r="H28" i="35"/>
  <c r="I28" i="35" s="1"/>
  <c r="G28" i="35"/>
  <c r="E25" i="35"/>
  <c r="B38" i="35" s="1"/>
  <c r="E24" i="35"/>
  <c r="B37" i="35" s="1"/>
  <c r="C37" i="35"/>
  <c r="C35" i="35"/>
  <c r="B29" i="35"/>
  <c r="C29" i="35"/>
  <c r="E22" i="35"/>
  <c r="B35" i="35" s="1"/>
  <c r="C37" i="34"/>
  <c r="C36" i="34"/>
  <c r="C39" i="34"/>
  <c r="L28" i="34"/>
  <c r="M28" i="34" s="1"/>
  <c r="K28" i="34"/>
  <c r="C38" i="34"/>
  <c r="H28" i="34"/>
  <c r="I28" i="34" s="1"/>
  <c r="G28" i="34"/>
  <c r="C28" i="34"/>
  <c r="E24" i="34" s="1"/>
  <c r="B37" i="34" s="1"/>
  <c r="B28" i="34"/>
  <c r="D22" i="34"/>
  <c r="E23" i="33"/>
  <c r="B36" i="33" s="1"/>
  <c r="C39" i="33"/>
  <c r="E26" i="33"/>
  <c r="B39" i="33" s="1"/>
  <c r="D33" i="33" a="1"/>
  <c r="E24" i="33"/>
  <c r="B37" i="33" s="1"/>
  <c r="C37" i="33"/>
  <c r="E25" i="33"/>
  <c r="B38" i="33" s="1"/>
  <c r="K28" i="33"/>
  <c r="L28" i="33"/>
  <c r="M28" i="33" s="1"/>
  <c r="B29" i="33"/>
  <c r="C37" i="32"/>
  <c r="C39" i="32"/>
  <c r="L28" i="32"/>
  <c r="M28" i="32" s="1"/>
  <c r="K28" i="32"/>
  <c r="H28" i="32"/>
  <c r="I28" i="32" s="1"/>
  <c r="G28" i="32"/>
  <c r="B29" i="32"/>
  <c r="C35" i="32"/>
  <c r="C29" i="32"/>
  <c r="C36" i="32"/>
  <c r="E25" i="32"/>
  <c r="B38" i="32" s="1"/>
  <c r="C38" i="32"/>
  <c r="B28" i="32"/>
  <c r="C28" i="32"/>
  <c r="E24" i="32" s="1"/>
  <c r="B37" i="32" s="1"/>
  <c r="C39" i="31"/>
  <c r="C37" i="31"/>
  <c r="C36" i="31"/>
  <c r="C38" i="31"/>
  <c r="M28" i="31"/>
  <c r="N28" i="31" s="1"/>
  <c r="L28" i="31"/>
  <c r="H28" i="31"/>
  <c r="I28" i="31" s="1"/>
  <c r="G28" i="31"/>
  <c r="C28" i="31"/>
  <c r="E26" i="31" s="1"/>
  <c r="B39" i="31" s="1"/>
  <c r="B28" i="31"/>
  <c r="D22" i="31"/>
  <c r="C37" i="30"/>
  <c r="C36" i="30"/>
  <c r="C39" i="30"/>
  <c r="L28" i="30"/>
  <c r="M28" i="30" s="1"/>
  <c r="K28" i="30"/>
  <c r="C38" i="30"/>
  <c r="H28" i="30"/>
  <c r="I28" i="30" s="1"/>
  <c r="G28" i="30"/>
  <c r="C28" i="30"/>
  <c r="E24" i="30" s="1"/>
  <c r="B37" i="30" s="1"/>
  <c r="B28" i="30"/>
  <c r="D22" i="30"/>
  <c r="C37" i="28"/>
  <c r="C36" i="28"/>
  <c r="C39" i="28"/>
  <c r="L28" i="28"/>
  <c r="M28" i="28" s="1"/>
  <c r="K28" i="28"/>
  <c r="C38" i="28"/>
  <c r="H28" i="28"/>
  <c r="I28" i="28" s="1"/>
  <c r="G28" i="28"/>
  <c r="C28" i="28"/>
  <c r="E24" i="28" s="1"/>
  <c r="B37" i="28" s="1"/>
  <c r="B28" i="28"/>
  <c r="D22" i="28"/>
  <c r="C36" i="27"/>
  <c r="C39" i="27"/>
  <c r="E26" i="27"/>
  <c r="B39" i="27" s="1"/>
  <c r="C37" i="27"/>
  <c r="L28" i="27"/>
  <c r="M28" i="27"/>
  <c r="N28" i="27" s="1"/>
  <c r="C38" i="27"/>
  <c r="H28" i="27"/>
  <c r="I28" i="27" s="1"/>
  <c r="G28" i="27"/>
  <c r="C28" i="27"/>
  <c r="E24" i="27" s="1"/>
  <c r="B37" i="27" s="1"/>
  <c r="B28" i="27"/>
  <c r="K28" i="26"/>
  <c r="C37" i="26"/>
  <c r="C28" i="26"/>
  <c r="E25" i="26" s="1"/>
  <c r="B38" i="26" s="1"/>
  <c r="B28" i="26"/>
  <c r="C36" i="26"/>
  <c r="C39" i="26"/>
  <c r="E26" i="26"/>
  <c r="B39" i="26" s="1"/>
  <c r="H28" i="26"/>
  <c r="I28" i="26" s="1"/>
  <c r="G28" i="26"/>
  <c r="D22" i="26"/>
  <c r="C39" i="24"/>
  <c r="C36" i="24"/>
  <c r="B36" i="24"/>
  <c r="C37" i="24"/>
  <c r="C28" i="24"/>
  <c r="E24" i="24" s="1"/>
  <c r="B37" i="24" s="1"/>
  <c r="B28" i="24"/>
  <c r="D22" i="24"/>
  <c r="L28" i="24"/>
  <c r="M28" i="24" s="1"/>
  <c r="K28" i="24"/>
  <c r="C38" i="24"/>
  <c r="H28" i="24"/>
  <c r="I28" i="24" s="1"/>
  <c r="G28" i="24"/>
  <c r="C36" i="23"/>
  <c r="C38" i="23"/>
  <c r="C37" i="23"/>
  <c r="L28" i="23"/>
  <c r="M28" i="23" s="1"/>
  <c r="C35" i="23"/>
  <c r="B29" i="23"/>
  <c r="C29" i="23"/>
  <c r="H28" i="23"/>
  <c r="I28" i="23" s="1"/>
  <c r="G28" i="23"/>
  <c r="C28" i="23"/>
  <c r="E24" i="23" s="1"/>
  <c r="B37" i="23" s="1"/>
  <c r="B28" i="23"/>
  <c r="C39" i="23"/>
  <c r="C39" i="22"/>
  <c r="L28" i="22"/>
  <c r="M28" i="22" s="1"/>
  <c r="K28" i="22"/>
  <c r="H28" i="22"/>
  <c r="I28" i="22" s="1"/>
  <c r="G28" i="22"/>
  <c r="C38" i="22"/>
  <c r="C28" i="22"/>
  <c r="E23" i="22" s="1"/>
  <c r="B36" i="22" s="1"/>
  <c r="B28" i="22"/>
  <c r="C37" i="22"/>
  <c r="C39" i="21"/>
  <c r="M28" i="21"/>
  <c r="N28" i="21" s="1"/>
  <c r="L28" i="21"/>
  <c r="H28" i="21"/>
  <c r="I28" i="21" s="1"/>
  <c r="G28" i="21"/>
  <c r="C38" i="21"/>
  <c r="C28" i="21"/>
  <c r="E23" i="21" s="1"/>
  <c r="B36" i="21" s="1"/>
  <c r="B28" i="21"/>
  <c r="D22" i="21"/>
  <c r="C37" i="21"/>
  <c r="C39" i="19"/>
  <c r="M28" i="19"/>
  <c r="N28" i="19" s="1"/>
  <c r="L28" i="19"/>
  <c r="H28" i="19"/>
  <c r="I28" i="19" s="1"/>
  <c r="G28" i="19"/>
  <c r="C38" i="19"/>
  <c r="C28" i="19"/>
  <c r="E23" i="19" s="1"/>
  <c r="B36" i="19" s="1"/>
  <c r="B28" i="19"/>
  <c r="D22" i="19"/>
  <c r="C37" i="19"/>
  <c r="L28" i="17"/>
  <c r="C37" i="17"/>
  <c r="C36" i="17"/>
  <c r="C28" i="17"/>
  <c r="E26" i="17" s="1"/>
  <c r="B39" i="17" s="1"/>
  <c r="B28" i="17"/>
  <c r="D22" i="17"/>
  <c r="M28" i="17"/>
  <c r="N28" i="17" s="1"/>
  <c r="H28" i="17"/>
  <c r="I28" i="17" s="1"/>
  <c r="G28" i="17"/>
  <c r="C38" i="17"/>
  <c r="C39" i="16"/>
  <c r="L28" i="16"/>
  <c r="M28" i="16" s="1"/>
  <c r="K28" i="16"/>
  <c r="H28" i="16"/>
  <c r="I28" i="16" s="1"/>
  <c r="G28" i="16"/>
  <c r="C38" i="16"/>
  <c r="C28" i="16"/>
  <c r="E23" i="16" s="1"/>
  <c r="B36" i="16" s="1"/>
  <c r="B28" i="16"/>
  <c r="D22" i="16"/>
  <c r="C37" i="16"/>
  <c r="L28" i="15"/>
  <c r="M28" i="15"/>
  <c r="N28" i="15" s="1"/>
  <c r="C36" i="15"/>
  <c r="C37" i="15"/>
  <c r="C28" i="15"/>
  <c r="E23" i="15" s="1"/>
  <c r="B36" i="15" s="1"/>
  <c r="B28" i="15"/>
  <c r="C39" i="15"/>
  <c r="H28" i="15"/>
  <c r="I28" i="15" s="1"/>
  <c r="G28" i="15"/>
  <c r="C38" i="15"/>
  <c r="D22" i="15"/>
  <c r="C39" i="14"/>
  <c r="M28" i="14"/>
  <c r="N28" i="14" s="1"/>
  <c r="L28" i="14"/>
  <c r="H28" i="14"/>
  <c r="I28" i="14" s="1"/>
  <c r="G28" i="14"/>
  <c r="C38" i="14"/>
  <c r="C28" i="14"/>
  <c r="E23" i="14" s="1"/>
  <c r="B36" i="14" s="1"/>
  <c r="B28" i="14"/>
  <c r="D22" i="14"/>
  <c r="C37" i="14"/>
  <c r="M28" i="13"/>
  <c r="N28" i="13" s="1"/>
  <c r="L28" i="13"/>
  <c r="H28" i="13"/>
  <c r="I28" i="13" s="1"/>
  <c r="G28" i="13"/>
  <c r="C38" i="13"/>
  <c r="C28" i="13"/>
  <c r="E23" i="13" s="1"/>
  <c r="B36" i="13" s="1"/>
  <c r="B28" i="13"/>
  <c r="C39" i="11"/>
  <c r="M28" i="11"/>
  <c r="N28" i="11" s="1"/>
  <c r="L28" i="11"/>
  <c r="H28" i="11"/>
  <c r="I28" i="11" s="1"/>
  <c r="G28" i="11"/>
  <c r="C38" i="11"/>
  <c r="C28" i="11"/>
  <c r="E23" i="11" s="1"/>
  <c r="B36" i="11" s="1"/>
  <c r="B28" i="11"/>
  <c r="D22" i="11"/>
  <c r="C37" i="11"/>
  <c r="C39" i="10"/>
  <c r="M28" i="10"/>
  <c r="N28" i="10" s="1"/>
  <c r="L28" i="10"/>
  <c r="H28" i="10"/>
  <c r="I28" i="10" s="1"/>
  <c r="G28" i="10"/>
  <c r="C38" i="10"/>
  <c r="C28" i="10"/>
  <c r="E23" i="10" s="1"/>
  <c r="B36" i="10" s="1"/>
  <c r="B28" i="10"/>
  <c r="D22" i="10"/>
  <c r="B29" i="10" s="1"/>
  <c r="C37" i="10"/>
  <c r="C39" i="9"/>
  <c r="M28" i="9"/>
  <c r="N28" i="9" s="1"/>
  <c r="L28" i="9"/>
  <c r="H28" i="9"/>
  <c r="I28" i="9" s="1"/>
  <c r="G28" i="9"/>
  <c r="C38" i="9"/>
  <c r="C28" i="9"/>
  <c r="B36" i="9" s="1"/>
  <c r="B28" i="9"/>
  <c r="D22" i="9"/>
  <c r="C37" i="9"/>
  <c r="F29" i="2"/>
  <c r="F28" i="2"/>
  <c r="D32" i="2" a="1"/>
  <c r="E32" i="2" s="1"/>
  <c r="C12" i="2"/>
  <c r="B12" i="2"/>
  <c r="H24" i="2" s="1"/>
  <c r="A12" i="2"/>
  <c r="A5" i="2"/>
  <c r="A6" i="2"/>
  <c r="A7" i="2"/>
  <c r="A8" i="2"/>
  <c r="A9" i="2"/>
  <c r="A10" i="2"/>
  <c r="A11" i="2"/>
  <c r="C6" i="2"/>
  <c r="C7" i="2"/>
  <c r="C8" i="2"/>
  <c r="C9" i="2"/>
  <c r="C10" i="2"/>
  <c r="C11" i="2"/>
  <c r="B11" i="2"/>
  <c r="B6" i="2"/>
  <c r="B7" i="2"/>
  <c r="B10" i="2"/>
  <c r="A1" i="2"/>
  <c r="C5" i="1"/>
  <c r="C5" i="2" s="1"/>
  <c r="K19" i="27" l="1"/>
  <c r="J19" i="27"/>
  <c r="Q19" i="27"/>
  <c r="P19" i="27"/>
  <c r="E22" i="9"/>
  <c r="B35" i="9" s="1"/>
  <c r="D33" i="9" s="1" a="1"/>
  <c r="D33" i="35" a="1"/>
  <c r="I26" i="35"/>
  <c r="C48" i="35" s="1"/>
  <c r="M24" i="35"/>
  <c r="C51" i="35" s="1"/>
  <c r="I22" i="35"/>
  <c r="D29" i="35"/>
  <c r="I25" i="35"/>
  <c r="C47" i="35" s="1"/>
  <c r="M26" i="35"/>
  <c r="C53" i="35" s="1"/>
  <c r="I24" i="35"/>
  <c r="C46" i="35" s="1"/>
  <c r="M23" i="35"/>
  <c r="C50" i="35" s="1"/>
  <c r="E17" i="35"/>
  <c r="M25" i="35"/>
  <c r="C52" i="35" s="1"/>
  <c r="I23" i="35"/>
  <c r="C45" i="35" s="1"/>
  <c r="M22" i="35"/>
  <c r="E23" i="34"/>
  <c r="B36" i="34" s="1"/>
  <c r="E25" i="34"/>
  <c r="B38" i="34" s="1"/>
  <c r="E26" i="34"/>
  <c r="B39" i="34" s="1"/>
  <c r="C35" i="34"/>
  <c r="B29" i="34"/>
  <c r="C29" i="34"/>
  <c r="E22" i="34"/>
  <c r="B35" i="34" s="1"/>
  <c r="F34" i="33"/>
  <c r="G33" i="33"/>
  <c r="G39" i="33" s="1"/>
  <c r="E34" i="33"/>
  <c r="E33" i="33"/>
  <c r="E37" i="33" s="1"/>
  <c r="D34" i="33"/>
  <c r="D33" i="33"/>
  <c r="H34" i="33"/>
  <c r="H33" i="33"/>
  <c r="G34" i="33"/>
  <c r="F33" i="33"/>
  <c r="I26" i="33"/>
  <c r="C48" i="33" s="1"/>
  <c r="M23" i="33"/>
  <c r="C50" i="33" s="1"/>
  <c r="D29" i="33"/>
  <c r="I25" i="33"/>
  <c r="C47" i="33" s="1"/>
  <c r="I23" i="33"/>
  <c r="C45" i="33" s="1"/>
  <c r="M22" i="33"/>
  <c r="M26" i="33"/>
  <c r="C53" i="33" s="1"/>
  <c r="M24" i="33"/>
  <c r="C51" i="33" s="1"/>
  <c r="I22" i="33"/>
  <c r="M25" i="33"/>
  <c r="C52" i="33" s="1"/>
  <c r="E17" i="33"/>
  <c r="I24" i="33"/>
  <c r="C46" i="33" s="1"/>
  <c r="F37" i="33"/>
  <c r="G37" i="33"/>
  <c r="D39" i="33"/>
  <c r="E26" i="32"/>
  <c r="B39" i="32" s="1"/>
  <c r="E23" i="32"/>
  <c r="B36" i="32" s="1"/>
  <c r="E22" i="32"/>
  <c r="B35" i="32" s="1"/>
  <c r="M25" i="32"/>
  <c r="C52" i="32" s="1"/>
  <c r="I23" i="32"/>
  <c r="C45" i="32" s="1"/>
  <c r="M22" i="32"/>
  <c r="I26" i="32"/>
  <c r="C48" i="32" s="1"/>
  <c r="M24" i="32"/>
  <c r="C51" i="32" s="1"/>
  <c r="D29" i="32"/>
  <c r="I24" i="32"/>
  <c r="C46" i="32" s="1"/>
  <c r="I25" i="32"/>
  <c r="C47" i="32" s="1"/>
  <c r="M26" i="32"/>
  <c r="C53" i="32" s="1"/>
  <c r="M23" i="32"/>
  <c r="C50" i="32" s="1"/>
  <c r="I22" i="32"/>
  <c r="E17" i="32"/>
  <c r="E24" i="31"/>
  <c r="B37" i="31" s="1"/>
  <c r="E25" i="31"/>
  <c r="B38" i="31" s="1"/>
  <c r="E23" i="31"/>
  <c r="B36" i="31" s="1"/>
  <c r="C35" i="31"/>
  <c r="B29" i="31"/>
  <c r="E22" i="31"/>
  <c r="B35" i="31" s="1"/>
  <c r="C29" i="31"/>
  <c r="E23" i="30"/>
  <c r="B36" i="30" s="1"/>
  <c r="E25" i="30"/>
  <c r="B38" i="30" s="1"/>
  <c r="E26" i="30"/>
  <c r="B39" i="30" s="1"/>
  <c r="C35" i="30"/>
  <c r="B29" i="30"/>
  <c r="C29" i="30"/>
  <c r="E22" i="30"/>
  <c r="B35" i="30" s="1"/>
  <c r="E23" i="28"/>
  <c r="B36" i="28" s="1"/>
  <c r="E25" i="28"/>
  <c r="B38" i="28" s="1"/>
  <c r="E26" i="28"/>
  <c r="B39" i="28" s="1"/>
  <c r="C35" i="28"/>
  <c r="B29" i="28"/>
  <c r="C29" i="28"/>
  <c r="E22" i="28"/>
  <c r="B35" i="28" s="1"/>
  <c r="D33" i="28" s="1" a="1"/>
  <c r="E23" i="27"/>
  <c r="B36" i="27" s="1"/>
  <c r="C35" i="27"/>
  <c r="B29" i="27"/>
  <c r="C29" i="27"/>
  <c r="E22" i="27"/>
  <c r="B35" i="27" s="1"/>
  <c r="E25" i="27"/>
  <c r="B38" i="27" s="1"/>
  <c r="E23" i="26"/>
  <c r="B36" i="26" s="1"/>
  <c r="C35" i="26"/>
  <c r="B29" i="26"/>
  <c r="E22" i="26"/>
  <c r="B35" i="26" s="1"/>
  <c r="C29" i="26"/>
  <c r="E24" i="26"/>
  <c r="B37" i="26" s="1"/>
  <c r="E26" i="24"/>
  <c r="B39" i="24" s="1"/>
  <c r="E25" i="24"/>
  <c r="B38" i="24" s="1"/>
  <c r="C35" i="24"/>
  <c r="B29" i="24"/>
  <c r="C29" i="24"/>
  <c r="E22" i="24"/>
  <c r="B35" i="24" s="1"/>
  <c r="E25" i="23"/>
  <c r="B38" i="23" s="1"/>
  <c r="E22" i="23"/>
  <c r="B35" i="23" s="1"/>
  <c r="E23" i="23"/>
  <c r="B36" i="23" s="1"/>
  <c r="E26" i="23"/>
  <c r="B39" i="23" s="1"/>
  <c r="J26" i="23"/>
  <c r="C48" i="23" s="1"/>
  <c r="O24" i="23"/>
  <c r="C51" i="23" s="1"/>
  <c r="J22" i="23"/>
  <c r="O25" i="23"/>
  <c r="C52" i="23" s="1"/>
  <c r="J23" i="23"/>
  <c r="C45" i="23" s="1"/>
  <c r="D29" i="23"/>
  <c r="O26" i="23"/>
  <c r="C53" i="23" s="1"/>
  <c r="J24" i="23"/>
  <c r="C46" i="23" s="1"/>
  <c r="O22" i="23"/>
  <c r="O23" i="23"/>
  <c r="C50" i="23" s="1"/>
  <c r="J25" i="23"/>
  <c r="C47" i="23" s="1"/>
  <c r="E17" i="23"/>
  <c r="E25" i="22"/>
  <c r="B38" i="22" s="1"/>
  <c r="E24" i="22"/>
  <c r="B37" i="22" s="1"/>
  <c r="E26" i="22"/>
  <c r="B39" i="22" s="1"/>
  <c r="C35" i="22"/>
  <c r="B29" i="22"/>
  <c r="C29" i="22"/>
  <c r="E22" i="22"/>
  <c r="B35" i="22" s="1"/>
  <c r="D33" i="22" s="1" a="1"/>
  <c r="E24" i="21"/>
  <c r="B37" i="21" s="1"/>
  <c r="E25" i="21"/>
  <c r="B38" i="21" s="1"/>
  <c r="E26" i="21"/>
  <c r="B39" i="21" s="1"/>
  <c r="C35" i="21"/>
  <c r="B29" i="21"/>
  <c r="C29" i="21"/>
  <c r="E22" i="21"/>
  <c r="B35" i="21" s="1"/>
  <c r="E24" i="19"/>
  <c r="B37" i="19" s="1"/>
  <c r="E25" i="19"/>
  <c r="B38" i="19" s="1"/>
  <c r="E26" i="19"/>
  <c r="B39" i="19" s="1"/>
  <c r="C35" i="19"/>
  <c r="B29" i="19"/>
  <c r="C29" i="19"/>
  <c r="E22" i="19"/>
  <c r="B35" i="19" s="1"/>
  <c r="E23" i="17"/>
  <c r="B36" i="17" s="1"/>
  <c r="E25" i="17"/>
  <c r="B38" i="17" s="1"/>
  <c r="C35" i="17"/>
  <c r="B29" i="17"/>
  <c r="E22" i="17"/>
  <c r="B35" i="17" s="1"/>
  <c r="C29" i="17"/>
  <c r="E24" i="17"/>
  <c r="B37" i="17" s="1"/>
  <c r="E24" i="16"/>
  <c r="B37" i="16" s="1"/>
  <c r="E25" i="16"/>
  <c r="B38" i="16" s="1"/>
  <c r="E26" i="16"/>
  <c r="B39" i="16" s="1"/>
  <c r="C35" i="16"/>
  <c r="B29" i="16"/>
  <c r="C29" i="16"/>
  <c r="E22" i="16"/>
  <c r="B35" i="16" s="1"/>
  <c r="D33" i="16" s="1" a="1"/>
  <c r="E26" i="15"/>
  <c r="B39" i="15" s="1"/>
  <c r="E25" i="15"/>
  <c r="B38" i="15" s="1"/>
  <c r="B37" i="15"/>
  <c r="C35" i="15"/>
  <c r="B29" i="15"/>
  <c r="E22" i="15"/>
  <c r="B35" i="15" s="1"/>
  <c r="C29" i="15"/>
  <c r="E25" i="14"/>
  <c r="B38" i="14" s="1"/>
  <c r="E24" i="14"/>
  <c r="B37" i="14" s="1"/>
  <c r="E26" i="14"/>
  <c r="B39" i="14" s="1"/>
  <c r="C35" i="14"/>
  <c r="B29" i="14"/>
  <c r="C29" i="14"/>
  <c r="E22" i="14"/>
  <c r="B35" i="14" s="1"/>
  <c r="E25" i="13"/>
  <c r="B38" i="13" s="1"/>
  <c r="C35" i="13"/>
  <c r="E22" i="13"/>
  <c r="B35" i="13" s="1"/>
  <c r="E24" i="11"/>
  <c r="B37" i="11" s="1"/>
  <c r="E25" i="11"/>
  <c r="B38" i="11" s="1"/>
  <c r="E26" i="11"/>
  <c r="B39" i="11" s="1"/>
  <c r="C35" i="11"/>
  <c r="B29" i="11"/>
  <c r="C29" i="11"/>
  <c r="E22" i="11"/>
  <c r="B35" i="11" s="1"/>
  <c r="E24" i="10"/>
  <c r="B37" i="10" s="1"/>
  <c r="E25" i="10"/>
  <c r="B38" i="10" s="1"/>
  <c r="E26" i="10"/>
  <c r="B39" i="10" s="1"/>
  <c r="C35" i="10"/>
  <c r="C29" i="10"/>
  <c r="E22" i="10"/>
  <c r="B35" i="10" s="1"/>
  <c r="E24" i="9"/>
  <c r="B37" i="9" s="1"/>
  <c r="E25" i="9"/>
  <c r="B38" i="9" s="1"/>
  <c r="E26" i="9"/>
  <c r="B39" i="9" s="1"/>
  <c r="C35" i="9"/>
  <c r="B29" i="9"/>
  <c r="C29" i="9"/>
  <c r="H23" i="2"/>
  <c r="H26" i="2"/>
  <c r="C22" i="2"/>
  <c r="L26" i="2"/>
  <c r="L25" i="2"/>
  <c r="H22" i="2"/>
  <c r="L24" i="2"/>
  <c r="L22" i="2"/>
  <c r="L28" i="2" s="1"/>
  <c r="M28" i="2" s="1"/>
  <c r="L23" i="2"/>
  <c r="H25" i="2"/>
  <c r="D32" i="2"/>
  <c r="H32" i="2"/>
  <c r="G32" i="2"/>
  <c r="F32" i="2"/>
  <c r="C23" i="2"/>
  <c r="D23" i="2" s="1"/>
  <c r="C36" i="2" s="1"/>
  <c r="D33" i="21" l="1" a="1"/>
  <c r="F34" i="21" s="1"/>
  <c r="D33" i="19" a="1"/>
  <c r="F34" i="19" s="1"/>
  <c r="D33" i="10" a="1"/>
  <c r="D33" i="11" a="1"/>
  <c r="D33" i="11" s="1"/>
  <c r="L29" i="35"/>
  <c r="C49" i="35"/>
  <c r="K29" i="35"/>
  <c r="G29" i="35"/>
  <c r="B13" i="35" s="1"/>
  <c r="C44" i="35"/>
  <c r="H29" i="35"/>
  <c r="F34" i="35"/>
  <c r="G33" i="35"/>
  <c r="G34" i="35"/>
  <c r="F33" i="35"/>
  <c r="E34" i="35"/>
  <c r="E33" i="35"/>
  <c r="D34" i="35"/>
  <c r="D33" i="35"/>
  <c r="H34" i="35"/>
  <c r="H33" i="35"/>
  <c r="D33" i="34" a="1"/>
  <c r="F34" i="34" s="1"/>
  <c r="I26" i="34"/>
  <c r="C48" i="34" s="1"/>
  <c r="M24" i="34"/>
  <c r="C51" i="34" s="1"/>
  <c r="I22" i="34"/>
  <c r="D29" i="34"/>
  <c r="I25" i="34"/>
  <c r="C47" i="34" s="1"/>
  <c r="M26" i="34"/>
  <c r="C53" i="34" s="1"/>
  <c r="I24" i="34"/>
  <c r="C46" i="34" s="1"/>
  <c r="M23" i="34"/>
  <c r="C50" i="34" s="1"/>
  <c r="M25" i="34"/>
  <c r="C52" i="34" s="1"/>
  <c r="I23" i="34"/>
  <c r="C45" i="34" s="1"/>
  <c r="M22" i="34"/>
  <c r="E17" i="34"/>
  <c r="F39" i="33"/>
  <c r="D37" i="33"/>
  <c r="L29" i="33"/>
  <c r="C49" i="33"/>
  <c r="K29" i="33"/>
  <c r="E39" i="33"/>
  <c r="G29" i="33"/>
  <c r="H29" i="33"/>
  <c r="C44" i="33"/>
  <c r="H38" i="33"/>
  <c r="H35" i="33"/>
  <c r="H36" i="33"/>
  <c r="E35" i="33"/>
  <c r="E36" i="33"/>
  <c r="E38" i="33"/>
  <c r="H37" i="33"/>
  <c r="H39" i="33"/>
  <c r="G35" i="33"/>
  <c r="G36" i="33"/>
  <c r="G38" i="33"/>
  <c r="D38" i="33"/>
  <c r="D35" i="33"/>
  <c r="D36" i="33"/>
  <c r="F36" i="33"/>
  <c r="F35" i="33"/>
  <c r="F38" i="33"/>
  <c r="C44" i="32"/>
  <c r="G29" i="32"/>
  <c r="H29" i="32"/>
  <c r="C49" i="32"/>
  <c r="L29" i="32"/>
  <c r="D33" i="32" a="1"/>
  <c r="D33" i="31" a="1"/>
  <c r="I26" i="31"/>
  <c r="C48" i="31" s="1"/>
  <c r="N24" i="31"/>
  <c r="C51" i="31" s="1"/>
  <c r="I22" i="31"/>
  <c r="N25" i="31"/>
  <c r="C52" i="31" s="1"/>
  <c r="I23" i="31"/>
  <c r="C45" i="31" s="1"/>
  <c r="D29" i="31"/>
  <c r="N26" i="31"/>
  <c r="C53" i="31" s="1"/>
  <c r="I24" i="31"/>
  <c r="C46" i="31" s="1"/>
  <c r="N22" i="31"/>
  <c r="N23" i="31"/>
  <c r="C50" i="31" s="1"/>
  <c r="I25" i="31"/>
  <c r="C47" i="31" s="1"/>
  <c r="E17" i="31"/>
  <c r="D33" i="30" a="1"/>
  <c r="F34" i="30" s="1"/>
  <c r="I26" i="30"/>
  <c r="C48" i="30" s="1"/>
  <c r="M24" i="30"/>
  <c r="C51" i="30" s="1"/>
  <c r="I22" i="30"/>
  <c r="D29" i="30"/>
  <c r="I25" i="30"/>
  <c r="C47" i="30" s="1"/>
  <c r="M26" i="30"/>
  <c r="C53" i="30" s="1"/>
  <c r="I24" i="30"/>
  <c r="C46" i="30" s="1"/>
  <c r="M23" i="30"/>
  <c r="C50" i="30" s="1"/>
  <c r="M25" i="30"/>
  <c r="C52" i="30" s="1"/>
  <c r="I23" i="30"/>
  <c r="C45" i="30" s="1"/>
  <c r="M22" i="30"/>
  <c r="E17" i="30"/>
  <c r="F34" i="28"/>
  <c r="G33" i="28"/>
  <c r="G34" i="28"/>
  <c r="F33" i="28"/>
  <c r="F35" i="28" s="1"/>
  <c r="E34" i="28"/>
  <c r="E33" i="28"/>
  <c r="D34" i="28"/>
  <c r="D33" i="28"/>
  <c r="H34" i="28"/>
  <c r="H33" i="28"/>
  <c r="I26" i="28"/>
  <c r="C48" i="28" s="1"/>
  <c r="M24" i="28"/>
  <c r="C51" i="28" s="1"/>
  <c r="I22" i="28"/>
  <c r="D29" i="28"/>
  <c r="I25" i="28"/>
  <c r="C47" i="28" s="1"/>
  <c r="M26" i="28"/>
  <c r="C53" i="28" s="1"/>
  <c r="I24" i="28"/>
  <c r="C46" i="28" s="1"/>
  <c r="M23" i="28"/>
  <c r="C50" i="28" s="1"/>
  <c r="M25" i="28"/>
  <c r="C52" i="28" s="1"/>
  <c r="I23" i="28"/>
  <c r="C45" i="28" s="1"/>
  <c r="M22" i="28"/>
  <c r="E17" i="28"/>
  <c r="G35" i="28"/>
  <c r="E35" i="28"/>
  <c r="H35" i="28"/>
  <c r="D33" i="27" a="1"/>
  <c r="H33" i="27" s="1"/>
  <c r="I26" i="27"/>
  <c r="C48" i="27" s="1"/>
  <c r="N24" i="27"/>
  <c r="C51" i="27" s="1"/>
  <c r="I22" i="27"/>
  <c r="N25" i="27"/>
  <c r="C52" i="27" s="1"/>
  <c r="I23" i="27"/>
  <c r="C45" i="27" s="1"/>
  <c r="N23" i="27"/>
  <c r="C50" i="27" s="1"/>
  <c r="I25" i="27"/>
  <c r="C47" i="27" s="1"/>
  <c r="E17" i="27"/>
  <c r="N26" i="27"/>
  <c r="C53" i="27" s="1"/>
  <c r="I24" i="27"/>
  <c r="C46" i="27" s="1"/>
  <c r="D29" i="27"/>
  <c r="N22" i="27"/>
  <c r="I26" i="26"/>
  <c r="C48" i="26" s="1"/>
  <c r="M24" i="26"/>
  <c r="C51" i="26" s="1"/>
  <c r="I22" i="26"/>
  <c r="M25" i="26"/>
  <c r="C52" i="26" s="1"/>
  <c r="I23" i="26"/>
  <c r="C45" i="26" s="1"/>
  <c r="M26" i="26"/>
  <c r="C53" i="26" s="1"/>
  <c r="I24" i="26"/>
  <c r="C46" i="26" s="1"/>
  <c r="I25" i="26"/>
  <c r="C47" i="26" s="1"/>
  <c r="D29" i="26"/>
  <c r="M22" i="26"/>
  <c r="M23" i="26"/>
  <c r="C50" i="26" s="1"/>
  <c r="E17" i="26"/>
  <c r="D33" i="26" a="1"/>
  <c r="D33" i="24" a="1"/>
  <c r="F34" i="24" s="1"/>
  <c r="I26" i="24"/>
  <c r="C48" i="24" s="1"/>
  <c r="M24" i="24"/>
  <c r="C51" i="24" s="1"/>
  <c r="I22" i="24"/>
  <c r="M25" i="24"/>
  <c r="C52" i="24" s="1"/>
  <c r="I23" i="24"/>
  <c r="C45" i="24" s="1"/>
  <c r="I24" i="24"/>
  <c r="C46" i="24" s="1"/>
  <c r="D29" i="24"/>
  <c r="M26" i="24"/>
  <c r="C53" i="24" s="1"/>
  <c r="M22" i="24"/>
  <c r="M23" i="24"/>
  <c r="C50" i="24" s="1"/>
  <c r="I25" i="24"/>
  <c r="C47" i="24" s="1"/>
  <c r="E17" i="24"/>
  <c r="G29" i="23"/>
  <c r="H29" i="23"/>
  <c r="C44" i="23"/>
  <c r="L29" i="23"/>
  <c r="K29" i="23"/>
  <c r="C49" i="23"/>
  <c r="D33" i="23" a="1"/>
  <c r="F34" i="22"/>
  <c r="G33" i="22"/>
  <c r="G35" i="22" s="1"/>
  <c r="G34" i="22"/>
  <c r="F33" i="22"/>
  <c r="F35" i="22" s="1"/>
  <c r="E34" i="22"/>
  <c r="E35" i="22" s="1"/>
  <c r="E33" i="22"/>
  <c r="D34" i="22"/>
  <c r="D33" i="22"/>
  <c r="H34" i="22"/>
  <c r="H33" i="22"/>
  <c r="H35" i="22" s="1"/>
  <c r="I26" i="22"/>
  <c r="M24" i="22"/>
  <c r="I22" i="22"/>
  <c r="J22" i="22" s="1"/>
  <c r="D29" i="22"/>
  <c r="I25" i="22"/>
  <c r="M26" i="22"/>
  <c r="I24" i="22"/>
  <c r="M23" i="22"/>
  <c r="M25" i="22"/>
  <c r="I23" i="22"/>
  <c r="M22" i="22"/>
  <c r="N22" i="22" s="1"/>
  <c r="E17" i="22"/>
  <c r="J26" i="21"/>
  <c r="C48" i="21" s="1"/>
  <c r="P24" i="21"/>
  <c r="C51" i="21" s="1"/>
  <c r="J22" i="21"/>
  <c r="D29" i="21"/>
  <c r="J25" i="21"/>
  <c r="C47" i="21" s="1"/>
  <c r="P26" i="21"/>
  <c r="C53" i="21" s="1"/>
  <c r="J24" i="21"/>
  <c r="C46" i="21" s="1"/>
  <c r="P23" i="21"/>
  <c r="C50" i="21" s="1"/>
  <c r="P25" i="21"/>
  <c r="C52" i="21" s="1"/>
  <c r="J23" i="21"/>
  <c r="C45" i="21" s="1"/>
  <c r="P22" i="21"/>
  <c r="E17" i="21"/>
  <c r="J26" i="19"/>
  <c r="C48" i="19" s="1"/>
  <c r="P24" i="19"/>
  <c r="C51" i="19" s="1"/>
  <c r="J22" i="19"/>
  <c r="D29" i="19"/>
  <c r="J25" i="19"/>
  <c r="C47" i="19" s="1"/>
  <c r="P26" i="19"/>
  <c r="C53" i="19" s="1"/>
  <c r="J24" i="19"/>
  <c r="C46" i="19" s="1"/>
  <c r="P23" i="19"/>
  <c r="C50" i="19" s="1"/>
  <c r="P25" i="19"/>
  <c r="C52" i="19" s="1"/>
  <c r="J23" i="19"/>
  <c r="C45" i="19" s="1"/>
  <c r="P22" i="19"/>
  <c r="E17" i="19"/>
  <c r="D33" i="17" a="1"/>
  <c r="F34" i="17" s="1"/>
  <c r="J26" i="17"/>
  <c r="C48" i="17" s="1"/>
  <c r="P24" i="17"/>
  <c r="C51" i="17" s="1"/>
  <c r="J22" i="17"/>
  <c r="P25" i="17"/>
  <c r="C52" i="17" s="1"/>
  <c r="J23" i="17"/>
  <c r="C45" i="17" s="1"/>
  <c r="D29" i="17"/>
  <c r="P26" i="17"/>
  <c r="C53" i="17" s="1"/>
  <c r="J24" i="17"/>
  <c r="C46" i="17" s="1"/>
  <c r="P22" i="17"/>
  <c r="P23" i="17"/>
  <c r="C50" i="17" s="1"/>
  <c r="J25" i="17"/>
  <c r="C47" i="17" s="1"/>
  <c r="E17" i="17"/>
  <c r="F34" i="16"/>
  <c r="G33" i="16"/>
  <c r="G34" i="16"/>
  <c r="F33" i="16"/>
  <c r="F35" i="16" s="1"/>
  <c r="E34" i="16"/>
  <c r="E33" i="16"/>
  <c r="D34" i="16"/>
  <c r="D33" i="16"/>
  <c r="H34" i="16"/>
  <c r="H33" i="16"/>
  <c r="I26" i="16"/>
  <c r="C48" i="16" s="1"/>
  <c r="M24" i="16"/>
  <c r="C51" i="16" s="1"/>
  <c r="I22" i="16"/>
  <c r="D29" i="16"/>
  <c r="I25" i="16"/>
  <c r="C47" i="16" s="1"/>
  <c r="M26" i="16"/>
  <c r="C53" i="16" s="1"/>
  <c r="I24" i="16"/>
  <c r="C46" i="16" s="1"/>
  <c r="M23" i="16"/>
  <c r="C50" i="16" s="1"/>
  <c r="M25" i="16"/>
  <c r="C52" i="16" s="1"/>
  <c r="I23" i="16"/>
  <c r="C45" i="16" s="1"/>
  <c r="M22" i="16"/>
  <c r="E17" i="16"/>
  <c r="G35" i="16"/>
  <c r="E35" i="16"/>
  <c r="H35" i="16"/>
  <c r="D33" i="15" a="1"/>
  <c r="F34" i="15" s="1"/>
  <c r="J26" i="15"/>
  <c r="C48" i="15" s="1"/>
  <c r="P24" i="15"/>
  <c r="C51" i="15" s="1"/>
  <c r="J22" i="15"/>
  <c r="P25" i="15"/>
  <c r="C52" i="15" s="1"/>
  <c r="J23" i="15"/>
  <c r="C45" i="15" s="1"/>
  <c r="D29" i="15"/>
  <c r="P26" i="15"/>
  <c r="C53" i="15" s="1"/>
  <c r="J24" i="15"/>
  <c r="C46" i="15" s="1"/>
  <c r="P22" i="15"/>
  <c r="J25" i="15"/>
  <c r="C47" i="15" s="1"/>
  <c r="P23" i="15"/>
  <c r="C50" i="15" s="1"/>
  <c r="E17" i="15"/>
  <c r="D33" i="14" a="1"/>
  <c r="F34" i="14" s="1"/>
  <c r="J26" i="14"/>
  <c r="P24" i="14"/>
  <c r="J22" i="14"/>
  <c r="K22" i="14" s="1"/>
  <c r="D29" i="14"/>
  <c r="J25" i="14"/>
  <c r="P26" i="14"/>
  <c r="J24" i="14"/>
  <c r="P23" i="14"/>
  <c r="P25" i="14"/>
  <c r="J23" i="14"/>
  <c r="P22" i="14"/>
  <c r="Q22" i="14" s="1"/>
  <c r="E17" i="14"/>
  <c r="J26" i="11"/>
  <c r="P24" i="11"/>
  <c r="J22" i="11"/>
  <c r="K22" i="11" s="1"/>
  <c r="D29" i="11"/>
  <c r="J25" i="11"/>
  <c r="P26" i="11"/>
  <c r="J24" i="11"/>
  <c r="P23" i="11"/>
  <c r="P25" i="11"/>
  <c r="J23" i="11"/>
  <c r="P22" i="11"/>
  <c r="Q22" i="11" s="1"/>
  <c r="E17" i="11"/>
  <c r="F34" i="10"/>
  <c r="G33" i="10"/>
  <c r="G34" i="10"/>
  <c r="G35" i="10" s="1"/>
  <c r="F33" i="10"/>
  <c r="E34" i="10"/>
  <c r="E33" i="10"/>
  <c r="D34" i="10"/>
  <c r="D33" i="10"/>
  <c r="H34" i="10"/>
  <c r="H33" i="10"/>
  <c r="J26" i="10"/>
  <c r="P24" i="10"/>
  <c r="J22" i="10"/>
  <c r="K22" i="10" s="1"/>
  <c r="D29" i="10"/>
  <c r="J25" i="10"/>
  <c r="P26" i="10"/>
  <c r="J24" i="10"/>
  <c r="P23" i="10"/>
  <c r="P25" i="10"/>
  <c r="J23" i="10"/>
  <c r="P22" i="10"/>
  <c r="Q22" i="10" s="1"/>
  <c r="E17" i="10"/>
  <c r="F34" i="9"/>
  <c r="G33" i="9"/>
  <c r="G34" i="9"/>
  <c r="F33" i="9"/>
  <c r="E34" i="9"/>
  <c r="E35" i="9" s="1"/>
  <c r="E33" i="9"/>
  <c r="D34" i="9"/>
  <c r="D33" i="9"/>
  <c r="H34" i="9"/>
  <c r="H33" i="9"/>
  <c r="H35" i="9" s="1"/>
  <c r="J26" i="9"/>
  <c r="P24" i="9"/>
  <c r="J22" i="9"/>
  <c r="K22" i="9" s="1"/>
  <c r="D29" i="9"/>
  <c r="J25" i="9"/>
  <c r="P26" i="9"/>
  <c r="J24" i="9"/>
  <c r="P23" i="9"/>
  <c r="P25" i="9"/>
  <c r="J23" i="9"/>
  <c r="P22" i="9"/>
  <c r="Q22" i="9" s="1"/>
  <c r="E17" i="9"/>
  <c r="G28" i="2"/>
  <c r="I28" i="2"/>
  <c r="K28" i="2"/>
  <c r="C26" i="2"/>
  <c r="D26" i="2" s="1"/>
  <c r="C39" i="2" s="1"/>
  <c r="C24" i="2"/>
  <c r="D24" i="2" s="1"/>
  <c r="C37" i="2" s="1"/>
  <c r="C25" i="2"/>
  <c r="D25" i="2" s="1"/>
  <c r="C38" i="2" s="1"/>
  <c r="D33" i="34" l="1"/>
  <c r="G34" i="27"/>
  <c r="H34" i="27"/>
  <c r="H36" i="27" s="1"/>
  <c r="F34" i="27"/>
  <c r="D34" i="27"/>
  <c r="E33" i="27"/>
  <c r="E34" i="27"/>
  <c r="E36" i="27" s="1"/>
  <c r="F33" i="27"/>
  <c r="D33" i="27"/>
  <c r="D39" i="27" s="1"/>
  <c r="G33" i="27"/>
  <c r="G35" i="27" s="1"/>
  <c r="D34" i="24"/>
  <c r="D33" i="24"/>
  <c r="D39" i="24" s="1"/>
  <c r="C47" i="22"/>
  <c r="J25" i="22"/>
  <c r="C53" i="22"/>
  <c r="N26" i="22"/>
  <c r="C45" i="22"/>
  <c r="J23" i="22"/>
  <c r="C51" i="22"/>
  <c r="N24" i="22"/>
  <c r="C52" i="22"/>
  <c r="N25" i="22"/>
  <c r="C48" i="22"/>
  <c r="J26" i="22"/>
  <c r="C50" i="22"/>
  <c r="N23" i="22"/>
  <c r="C46" i="22"/>
  <c r="J24" i="22"/>
  <c r="D34" i="21"/>
  <c r="D36" i="21" s="1"/>
  <c r="E33" i="21"/>
  <c r="E34" i="21"/>
  <c r="E39" i="21" s="1"/>
  <c r="F33" i="21"/>
  <c r="G34" i="21"/>
  <c r="G35" i="21" s="1"/>
  <c r="H33" i="21"/>
  <c r="G33" i="21"/>
  <c r="D33" i="21"/>
  <c r="H34" i="21"/>
  <c r="H35" i="21" s="1"/>
  <c r="E35" i="21"/>
  <c r="F35" i="21"/>
  <c r="D33" i="19"/>
  <c r="D36" i="19" s="1"/>
  <c r="D34" i="19"/>
  <c r="E33" i="19"/>
  <c r="E36" i="19" s="1"/>
  <c r="E34" i="19"/>
  <c r="F33" i="19"/>
  <c r="F35" i="19" s="1"/>
  <c r="G34" i="19"/>
  <c r="G38" i="19" s="1"/>
  <c r="H33" i="19"/>
  <c r="G33" i="19"/>
  <c r="H34" i="19"/>
  <c r="H34" i="17"/>
  <c r="D33" i="17"/>
  <c r="D36" i="17" s="1"/>
  <c r="E34" i="17"/>
  <c r="E33" i="17"/>
  <c r="E38" i="17" s="1"/>
  <c r="G34" i="17"/>
  <c r="G39" i="17" s="1"/>
  <c r="E33" i="11"/>
  <c r="D34" i="11"/>
  <c r="E34" i="11"/>
  <c r="G34" i="11"/>
  <c r="G33" i="11"/>
  <c r="G35" i="11" s="1"/>
  <c r="H33" i="11"/>
  <c r="F33" i="11"/>
  <c r="H34" i="11"/>
  <c r="H35" i="11" s="1"/>
  <c r="F34" i="11"/>
  <c r="E35" i="11"/>
  <c r="C51" i="11"/>
  <c r="Q24" i="11"/>
  <c r="C52" i="11"/>
  <c r="Q25" i="11"/>
  <c r="C48" i="11"/>
  <c r="K26" i="11"/>
  <c r="C50" i="11"/>
  <c r="Q23" i="11"/>
  <c r="C46" i="11"/>
  <c r="K24" i="11"/>
  <c r="C45" i="11"/>
  <c r="K23" i="11"/>
  <c r="C53" i="11"/>
  <c r="Q26" i="11"/>
  <c r="C47" i="11"/>
  <c r="K25" i="11"/>
  <c r="E35" i="10"/>
  <c r="C46" i="10"/>
  <c r="K24" i="10"/>
  <c r="C47" i="10"/>
  <c r="K25" i="10"/>
  <c r="C53" i="10"/>
  <c r="Q26" i="10"/>
  <c r="C45" i="10"/>
  <c r="K23" i="10"/>
  <c r="C51" i="10"/>
  <c r="Q24" i="10"/>
  <c r="C52" i="10"/>
  <c r="Q25" i="10"/>
  <c r="C48" i="10"/>
  <c r="K26" i="10"/>
  <c r="C50" i="10"/>
  <c r="Q23" i="10"/>
  <c r="H35" i="10"/>
  <c r="F35" i="9"/>
  <c r="C53" i="9"/>
  <c r="Q26" i="9"/>
  <c r="C47" i="9"/>
  <c r="K25" i="9"/>
  <c r="C45" i="9"/>
  <c r="K23" i="9"/>
  <c r="C51" i="9"/>
  <c r="Q24" i="9"/>
  <c r="C48" i="9"/>
  <c r="K26" i="9"/>
  <c r="C50" i="9"/>
  <c r="Q23" i="9"/>
  <c r="G35" i="9"/>
  <c r="C52" i="9"/>
  <c r="Q25" i="9"/>
  <c r="C46" i="9"/>
  <c r="K24" i="9"/>
  <c r="C53" i="14"/>
  <c r="Q26" i="14"/>
  <c r="C47" i="14"/>
  <c r="K25" i="14"/>
  <c r="C50" i="14"/>
  <c r="Q23" i="14"/>
  <c r="G34" i="14"/>
  <c r="C45" i="14"/>
  <c r="K23" i="14"/>
  <c r="C51" i="14"/>
  <c r="Q24" i="14"/>
  <c r="C52" i="14"/>
  <c r="Q25" i="14"/>
  <c r="C48" i="14"/>
  <c r="K26" i="14"/>
  <c r="C46" i="14"/>
  <c r="K24" i="14"/>
  <c r="D33" i="14"/>
  <c r="D34" i="14"/>
  <c r="F33" i="14"/>
  <c r="F36" i="14" s="1"/>
  <c r="F35" i="10"/>
  <c r="B45" i="35"/>
  <c r="B44" i="35"/>
  <c r="B47" i="35"/>
  <c r="I29" i="35"/>
  <c r="B48" i="35"/>
  <c r="B46" i="35"/>
  <c r="D38" i="35"/>
  <c r="D39" i="35"/>
  <c r="D36" i="35"/>
  <c r="D35" i="35"/>
  <c r="D37" i="35"/>
  <c r="G38" i="35"/>
  <c r="G39" i="35"/>
  <c r="G35" i="35"/>
  <c r="G37" i="35"/>
  <c r="G36" i="35"/>
  <c r="M29" i="35"/>
  <c r="B53" i="35"/>
  <c r="B51" i="35"/>
  <c r="B49" i="35"/>
  <c r="B52" i="35"/>
  <c r="B50" i="35"/>
  <c r="H38" i="35"/>
  <c r="H39" i="35"/>
  <c r="H37" i="35"/>
  <c r="H35" i="35"/>
  <c r="H36" i="35"/>
  <c r="E38" i="35"/>
  <c r="E39" i="35"/>
  <c r="E35" i="35"/>
  <c r="E37" i="35"/>
  <c r="E36" i="35"/>
  <c r="F38" i="35"/>
  <c r="F39" i="35"/>
  <c r="F35" i="35"/>
  <c r="F37" i="35"/>
  <c r="F36" i="35"/>
  <c r="E33" i="34"/>
  <c r="F33" i="34"/>
  <c r="H33" i="34"/>
  <c r="G34" i="34"/>
  <c r="G36" i="34" s="1"/>
  <c r="D34" i="34"/>
  <c r="D38" i="34" s="1"/>
  <c r="G33" i="34"/>
  <c r="H34" i="34"/>
  <c r="E34" i="34"/>
  <c r="E35" i="34" s="1"/>
  <c r="F35" i="34"/>
  <c r="L29" i="34"/>
  <c r="C49" i="34"/>
  <c r="K29" i="34"/>
  <c r="G29" i="34"/>
  <c r="C44" i="34"/>
  <c r="H29" i="34"/>
  <c r="F38" i="34"/>
  <c r="F39" i="34"/>
  <c r="F36" i="34"/>
  <c r="F37" i="34"/>
  <c r="B13" i="33"/>
  <c r="B53" i="33"/>
  <c r="B51" i="33"/>
  <c r="B49" i="33"/>
  <c r="B52" i="33"/>
  <c r="B50" i="33"/>
  <c r="M29" i="33"/>
  <c r="B44" i="33"/>
  <c r="B47" i="33"/>
  <c r="I29" i="33"/>
  <c r="B46" i="33"/>
  <c r="B48" i="33"/>
  <c r="B45" i="33"/>
  <c r="E34" i="32"/>
  <c r="F33" i="32"/>
  <c r="G34" i="32"/>
  <c r="G33" i="32"/>
  <c r="F34" i="32"/>
  <c r="E33" i="32"/>
  <c r="D34" i="32"/>
  <c r="H33" i="32"/>
  <c r="D33" i="32"/>
  <c r="H34" i="32"/>
  <c r="M29" i="32"/>
  <c r="B53" i="32"/>
  <c r="B51" i="32"/>
  <c r="B49" i="32"/>
  <c r="B52" i="32"/>
  <c r="B50" i="32"/>
  <c r="B13" i="32"/>
  <c r="B45" i="32"/>
  <c r="B44" i="32"/>
  <c r="B47" i="32"/>
  <c r="B48" i="32"/>
  <c r="B46" i="32"/>
  <c r="I29" i="32"/>
  <c r="M29" i="31"/>
  <c r="L29" i="31"/>
  <c r="C49" i="31"/>
  <c r="F34" i="31"/>
  <c r="G33" i="31"/>
  <c r="E34" i="31"/>
  <c r="F33" i="31"/>
  <c r="H34" i="31"/>
  <c r="D34" i="31"/>
  <c r="E33" i="31"/>
  <c r="G34" i="31"/>
  <c r="D33" i="31"/>
  <c r="H33" i="31"/>
  <c r="G29" i="31"/>
  <c r="C44" i="31"/>
  <c r="H29" i="31"/>
  <c r="D33" i="30"/>
  <c r="D34" i="30"/>
  <c r="D35" i="30" s="1"/>
  <c r="F33" i="30"/>
  <c r="F38" i="30" s="1"/>
  <c r="G34" i="30"/>
  <c r="G36" i="30" s="1"/>
  <c r="H33" i="30"/>
  <c r="E33" i="30"/>
  <c r="G33" i="30"/>
  <c r="H34" i="30"/>
  <c r="E34" i="30"/>
  <c r="D38" i="30"/>
  <c r="D39" i="30"/>
  <c r="D36" i="30"/>
  <c r="L29" i="30"/>
  <c r="C49" i="30"/>
  <c r="K29" i="30"/>
  <c r="G29" i="30"/>
  <c r="C44" i="30"/>
  <c r="H29" i="30"/>
  <c r="F36" i="30"/>
  <c r="D37" i="28"/>
  <c r="D38" i="28"/>
  <c r="D39" i="28"/>
  <c r="D36" i="28"/>
  <c r="G36" i="28"/>
  <c r="G37" i="28"/>
  <c r="G38" i="28"/>
  <c r="G39" i="28"/>
  <c r="D35" i="28"/>
  <c r="L29" i="28"/>
  <c r="C49" i="28"/>
  <c r="K29" i="28"/>
  <c r="G29" i="28"/>
  <c r="C44" i="28"/>
  <c r="H29" i="28"/>
  <c r="H36" i="28"/>
  <c r="H37" i="28"/>
  <c r="H38" i="28"/>
  <c r="H39" i="28"/>
  <c r="E36" i="28"/>
  <c r="E37" i="28"/>
  <c r="E38" i="28"/>
  <c r="E39" i="28"/>
  <c r="F38" i="28"/>
  <c r="F39" i="28"/>
  <c r="F36" i="28"/>
  <c r="F37" i="28"/>
  <c r="H35" i="27"/>
  <c r="M29" i="27"/>
  <c r="C49" i="27"/>
  <c r="L29" i="27"/>
  <c r="G29" i="27"/>
  <c r="C44" i="27"/>
  <c r="H29" i="27"/>
  <c r="E39" i="27"/>
  <c r="E35" i="27"/>
  <c r="D37" i="27"/>
  <c r="F37" i="27"/>
  <c r="F38" i="27"/>
  <c r="G29" i="26"/>
  <c r="C44" i="26"/>
  <c r="H29" i="26"/>
  <c r="L29" i="26"/>
  <c r="C49" i="26"/>
  <c r="K29" i="26"/>
  <c r="F34" i="26"/>
  <c r="G33" i="26"/>
  <c r="E34" i="26"/>
  <c r="F33" i="26"/>
  <c r="H33" i="26"/>
  <c r="H34" i="26"/>
  <c r="E33" i="26"/>
  <c r="G34" i="26"/>
  <c r="D33" i="26"/>
  <c r="D34" i="26"/>
  <c r="E34" i="24"/>
  <c r="H33" i="24"/>
  <c r="G34" i="24"/>
  <c r="H34" i="24"/>
  <c r="G33" i="24"/>
  <c r="E33" i="24"/>
  <c r="F33" i="24"/>
  <c r="F38" i="24" s="1"/>
  <c r="G29" i="24"/>
  <c r="H29" i="24"/>
  <c r="C44" i="24"/>
  <c r="L29" i="24"/>
  <c r="K29" i="24"/>
  <c r="C49" i="24"/>
  <c r="B44" i="23"/>
  <c r="B46" i="23"/>
  <c r="I29" i="23"/>
  <c r="B48" i="23"/>
  <c r="B47" i="23"/>
  <c r="B45" i="23"/>
  <c r="F34" i="23"/>
  <c r="G33" i="23"/>
  <c r="D33" i="23"/>
  <c r="E34" i="23"/>
  <c r="F33" i="23"/>
  <c r="G34" i="23"/>
  <c r="H34" i="23"/>
  <c r="D34" i="23"/>
  <c r="E33" i="23"/>
  <c r="H33" i="23"/>
  <c r="B13" i="23"/>
  <c r="B53" i="23"/>
  <c r="B50" i="23"/>
  <c r="B52" i="23"/>
  <c r="B51" i="23"/>
  <c r="M29" i="23"/>
  <c r="B49" i="23"/>
  <c r="D36" i="22"/>
  <c r="D37" i="22"/>
  <c r="D38" i="22"/>
  <c r="D39" i="22"/>
  <c r="G36" i="22"/>
  <c r="G38" i="22"/>
  <c r="G37" i="22"/>
  <c r="G39" i="22"/>
  <c r="D35" i="22"/>
  <c r="L29" i="22"/>
  <c r="C49" i="22"/>
  <c r="K29" i="22"/>
  <c r="G29" i="22"/>
  <c r="C44" i="22"/>
  <c r="H29" i="22"/>
  <c r="H36" i="22"/>
  <c r="H39" i="22"/>
  <c r="H37" i="22"/>
  <c r="H38" i="22"/>
  <c r="E36" i="22"/>
  <c r="E38" i="22"/>
  <c r="E37" i="22"/>
  <c r="E39" i="22"/>
  <c r="F36" i="22"/>
  <c r="F38" i="22"/>
  <c r="F39" i="22"/>
  <c r="F37" i="22"/>
  <c r="G36" i="21"/>
  <c r="G38" i="21"/>
  <c r="G37" i="21"/>
  <c r="G39" i="21"/>
  <c r="M29" i="21"/>
  <c r="C49" i="21"/>
  <c r="L29" i="21"/>
  <c r="G29" i="21"/>
  <c r="C44" i="21"/>
  <c r="H29" i="21"/>
  <c r="E38" i="21"/>
  <c r="E37" i="21"/>
  <c r="F36" i="21"/>
  <c r="F38" i="21"/>
  <c r="F39" i="21"/>
  <c r="F37" i="21"/>
  <c r="M29" i="19"/>
  <c r="C49" i="19"/>
  <c r="L29" i="19"/>
  <c r="G29" i="19"/>
  <c r="C44" i="19"/>
  <c r="H29" i="19"/>
  <c r="E38" i="19"/>
  <c r="F36" i="19"/>
  <c r="F38" i="19"/>
  <c r="F39" i="19"/>
  <c r="F37" i="19"/>
  <c r="H33" i="17"/>
  <c r="G33" i="17"/>
  <c r="G35" i="17" s="1"/>
  <c r="D34" i="17"/>
  <c r="F33" i="17"/>
  <c r="F35" i="17" s="1"/>
  <c r="E35" i="17"/>
  <c r="G29" i="17"/>
  <c r="C44" i="17"/>
  <c r="H29" i="17"/>
  <c r="G38" i="17"/>
  <c r="M29" i="17"/>
  <c r="L29" i="17"/>
  <c r="C49" i="17"/>
  <c r="D36" i="16"/>
  <c r="D37" i="16"/>
  <c r="D38" i="16"/>
  <c r="D39" i="16"/>
  <c r="G36" i="16"/>
  <c r="G38" i="16"/>
  <c r="G37" i="16"/>
  <c r="G39" i="16"/>
  <c r="D35" i="16"/>
  <c r="L29" i="16"/>
  <c r="C49" i="16"/>
  <c r="K29" i="16"/>
  <c r="G29" i="16"/>
  <c r="C44" i="16"/>
  <c r="H29" i="16"/>
  <c r="H36" i="16"/>
  <c r="H39" i="16"/>
  <c r="H37" i="16"/>
  <c r="H38" i="16"/>
  <c r="E36" i="16"/>
  <c r="E38" i="16"/>
  <c r="E37" i="16"/>
  <c r="E39" i="16"/>
  <c r="F36" i="16"/>
  <c r="F38" i="16"/>
  <c r="F39" i="16"/>
  <c r="F37" i="16"/>
  <c r="D34" i="15"/>
  <c r="H34" i="15"/>
  <c r="E34" i="15"/>
  <c r="D33" i="15"/>
  <c r="D35" i="15" s="1"/>
  <c r="G34" i="15"/>
  <c r="H33" i="15"/>
  <c r="H36" i="15" s="1"/>
  <c r="G33" i="15"/>
  <c r="E33" i="15"/>
  <c r="F33" i="15"/>
  <c r="F35" i="15" s="1"/>
  <c r="G29" i="15"/>
  <c r="H29" i="15"/>
  <c r="C44" i="15"/>
  <c r="M29" i="15"/>
  <c r="L29" i="15"/>
  <c r="C49" i="15"/>
  <c r="H33" i="14"/>
  <c r="E33" i="14"/>
  <c r="G33" i="14"/>
  <c r="H34" i="14"/>
  <c r="E34" i="14"/>
  <c r="F35" i="14"/>
  <c r="M29" i="14"/>
  <c r="C49" i="14"/>
  <c r="L29" i="14"/>
  <c r="G29" i="14"/>
  <c r="C44" i="14"/>
  <c r="H29" i="14"/>
  <c r="D36" i="11"/>
  <c r="D37" i="11"/>
  <c r="D38" i="11"/>
  <c r="D39" i="11"/>
  <c r="G36" i="11"/>
  <c r="G38" i="11"/>
  <c r="G37" i="11"/>
  <c r="G39" i="11"/>
  <c r="D35" i="11"/>
  <c r="M29" i="11"/>
  <c r="C49" i="11"/>
  <c r="L29" i="11"/>
  <c r="G29" i="11"/>
  <c r="C44" i="11"/>
  <c r="H29" i="11"/>
  <c r="H39" i="11"/>
  <c r="H37" i="11"/>
  <c r="H38" i="11"/>
  <c r="E36" i="11"/>
  <c r="E38" i="11"/>
  <c r="E37" i="11"/>
  <c r="E39" i="11"/>
  <c r="D36" i="10"/>
  <c r="D37" i="10"/>
  <c r="D38" i="10"/>
  <c r="D39" i="10"/>
  <c r="G36" i="10"/>
  <c r="G38" i="10"/>
  <c r="G37" i="10"/>
  <c r="G39" i="10"/>
  <c r="D35" i="10"/>
  <c r="M29" i="10"/>
  <c r="C49" i="10"/>
  <c r="L29" i="10"/>
  <c r="G29" i="10"/>
  <c r="C44" i="10"/>
  <c r="H29" i="10"/>
  <c r="H36" i="10"/>
  <c r="H39" i="10"/>
  <c r="H37" i="10"/>
  <c r="H38" i="10"/>
  <c r="E36" i="10"/>
  <c r="E38" i="10"/>
  <c r="E37" i="10"/>
  <c r="E39" i="10"/>
  <c r="F36" i="10"/>
  <c r="F38" i="10"/>
  <c r="F39" i="10"/>
  <c r="F37" i="10"/>
  <c r="D36" i="9"/>
  <c r="D37" i="9"/>
  <c r="D38" i="9"/>
  <c r="D39" i="9"/>
  <c r="G36" i="9"/>
  <c r="G38" i="9"/>
  <c r="G37" i="9"/>
  <c r="G39" i="9"/>
  <c r="D35" i="9"/>
  <c r="M29" i="9"/>
  <c r="C49" i="9"/>
  <c r="L29" i="9"/>
  <c r="G29" i="9"/>
  <c r="C44" i="9"/>
  <c r="H29" i="9"/>
  <c r="H36" i="9"/>
  <c r="H39" i="9"/>
  <c r="H37" i="9"/>
  <c r="H38" i="9"/>
  <c r="E36" i="9"/>
  <c r="E38" i="9"/>
  <c r="E37" i="9"/>
  <c r="E39" i="9"/>
  <c r="F36" i="9"/>
  <c r="F38" i="9"/>
  <c r="F39" i="9"/>
  <c r="F37" i="9"/>
  <c r="C28" i="2"/>
  <c r="E23" i="2" s="1"/>
  <c r="B36" i="2" s="1"/>
  <c r="B28" i="2"/>
  <c r="D22" i="2"/>
  <c r="C35" i="2" s="1"/>
  <c r="H35" i="34" l="1"/>
  <c r="H37" i="27"/>
  <c r="E37" i="27"/>
  <c r="E38" i="27"/>
  <c r="D36" i="27"/>
  <c r="H39" i="27"/>
  <c r="H38" i="27"/>
  <c r="D38" i="27"/>
  <c r="F36" i="27"/>
  <c r="F39" i="27"/>
  <c r="D35" i="27"/>
  <c r="F35" i="27"/>
  <c r="G36" i="27"/>
  <c r="G37" i="27"/>
  <c r="G38" i="27"/>
  <c r="G39" i="27"/>
  <c r="D38" i="24"/>
  <c r="E38" i="24"/>
  <c r="D37" i="24"/>
  <c r="D36" i="24"/>
  <c r="D35" i="24"/>
  <c r="H39" i="24"/>
  <c r="G38" i="24"/>
  <c r="E35" i="24"/>
  <c r="E36" i="24"/>
  <c r="B13" i="26"/>
  <c r="E36" i="21"/>
  <c r="D39" i="21"/>
  <c r="H38" i="21"/>
  <c r="D38" i="21"/>
  <c r="H37" i="21"/>
  <c r="D37" i="21"/>
  <c r="H39" i="21"/>
  <c r="D35" i="21"/>
  <c r="H36" i="21"/>
  <c r="B13" i="21"/>
  <c r="D35" i="19"/>
  <c r="G39" i="19"/>
  <c r="G36" i="19"/>
  <c r="D37" i="19"/>
  <c r="G37" i="19"/>
  <c r="G35" i="19"/>
  <c r="D39" i="19"/>
  <c r="D38" i="19"/>
  <c r="H36" i="19"/>
  <c r="E39" i="19"/>
  <c r="E37" i="19"/>
  <c r="H35" i="19"/>
  <c r="H38" i="19"/>
  <c r="H37" i="19"/>
  <c r="E35" i="19"/>
  <c r="H39" i="19"/>
  <c r="B13" i="19"/>
  <c r="G36" i="17"/>
  <c r="G37" i="17"/>
  <c r="H39" i="17"/>
  <c r="D39" i="17"/>
  <c r="E39" i="17"/>
  <c r="E37" i="17"/>
  <c r="H37" i="17"/>
  <c r="E36" i="17"/>
  <c r="H35" i="17"/>
  <c r="H38" i="17"/>
  <c r="H36" i="17"/>
  <c r="B13" i="17"/>
  <c r="E37" i="15"/>
  <c r="E38" i="15"/>
  <c r="D39" i="15"/>
  <c r="B13" i="15"/>
  <c r="E39" i="15"/>
  <c r="H36" i="11"/>
  <c r="F36" i="11"/>
  <c r="F35" i="11"/>
  <c r="F39" i="11"/>
  <c r="F37" i="11"/>
  <c r="F38" i="11"/>
  <c r="F37" i="14"/>
  <c r="F39" i="14"/>
  <c r="H35" i="14"/>
  <c r="G35" i="14"/>
  <c r="B13" i="11"/>
  <c r="F38" i="14"/>
  <c r="G37" i="14"/>
  <c r="G38" i="14"/>
  <c r="G36" i="14"/>
  <c r="E35" i="14"/>
  <c r="D36" i="14"/>
  <c r="E39" i="14"/>
  <c r="D39" i="14"/>
  <c r="D38" i="14"/>
  <c r="E38" i="14"/>
  <c r="D37" i="14"/>
  <c r="E37" i="14"/>
  <c r="E36" i="14"/>
  <c r="D35" i="14"/>
  <c r="H37" i="14"/>
  <c r="G39" i="14"/>
  <c r="D41" i="35" a="1"/>
  <c r="E36" i="34"/>
  <c r="E37" i="34"/>
  <c r="H38" i="34"/>
  <c r="E39" i="34"/>
  <c r="D36" i="34"/>
  <c r="E38" i="34"/>
  <c r="D37" i="34"/>
  <c r="G35" i="34"/>
  <c r="D35" i="34"/>
  <c r="D39" i="34"/>
  <c r="G37" i="34"/>
  <c r="H36" i="34"/>
  <c r="G39" i="34"/>
  <c r="H37" i="34"/>
  <c r="H39" i="34"/>
  <c r="G38" i="34"/>
  <c r="M29" i="34"/>
  <c r="B53" i="34"/>
  <c r="B51" i="34"/>
  <c r="B49" i="34"/>
  <c r="B52" i="34"/>
  <c r="B50" i="34"/>
  <c r="B45" i="34"/>
  <c r="B44" i="34"/>
  <c r="B47" i="34"/>
  <c r="I29" i="34"/>
  <c r="B48" i="34"/>
  <c r="B46" i="34"/>
  <c r="B13" i="34"/>
  <c r="D41" i="33" a="1"/>
  <c r="D41" i="32" a="1"/>
  <c r="G38" i="32"/>
  <c r="G35" i="32"/>
  <c r="G39" i="32"/>
  <c r="G36" i="32"/>
  <c r="G37" i="32"/>
  <c r="H35" i="32"/>
  <c r="H39" i="32"/>
  <c r="H36" i="32"/>
  <c r="H37" i="32"/>
  <c r="H38" i="32"/>
  <c r="D38" i="32"/>
  <c r="D37" i="32"/>
  <c r="D35" i="32"/>
  <c r="D39" i="32"/>
  <c r="D36" i="32"/>
  <c r="F37" i="32"/>
  <c r="F38" i="32"/>
  <c r="F35" i="32"/>
  <c r="F36" i="32"/>
  <c r="F39" i="32"/>
  <c r="E38" i="32"/>
  <c r="E37" i="32"/>
  <c r="E35" i="32"/>
  <c r="E39" i="32"/>
  <c r="E36" i="32"/>
  <c r="B48" i="31"/>
  <c r="B47" i="31"/>
  <c r="B45" i="31"/>
  <c r="B44" i="31"/>
  <c r="I29" i="31"/>
  <c r="B46" i="31"/>
  <c r="D37" i="31"/>
  <c r="D36" i="31"/>
  <c r="D38" i="31"/>
  <c r="D39" i="31"/>
  <c r="D35" i="31"/>
  <c r="B52" i="31"/>
  <c r="B51" i="31"/>
  <c r="B50" i="31"/>
  <c r="B49" i="31"/>
  <c r="B53" i="31"/>
  <c r="N29" i="31"/>
  <c r="B13" i="31"/>
  <c r="H39" i="31"/>
  <c r="H38" i="31"/>
  <c r="H36" i="31"/>
  <c r="H37" i="31"/>
  <c r="H35" i="31"/>
  <c r="F38" i="31"/>
  <c r="F39" i="31"/>
  <c r="F37" i="31"/>
  <c r="F36" i="31"/>
  <c r="F35" i="31"/>
  <c r="E37" i="31"/>
  <c r="E36" i="31"/>
  <c r="E38" i="31"/>
  <c r="E39" i="31"/>
  <c r="E35" i="31"/>
  <c r="G38" i="31"/>
  <c r="G39" i="31"/>
  <c r="G36" i="31"/>
  <c r="G37" i="31"/>
  <c r="G35" i="31"/>
  <c r="F37" i="30"/>
  <c r="E36" i="30"/>
  <c r="F39" i="30"/>
  <c r="F35" i="30"/>
  <c r="D37" i="30"/>
  <c r="H37" i="30"/>
  <c r="G35" i="30"/>
  <c r="E37" i="30"/>
  <c r="H38" i="30"/>
  <c r="E39" i="30"/>
  <c r="E38" i="30"/>
  <c r="G38" i="30"/>
  <c r="E35" i="30"/>
  <c r="G39" i="30"/>
  <c r="G37" i="30"/>
  <c r="H36" i="30"/>
  <c r="H39" i="30"/>
  <c r="H35" i="30"/>
  <c r="M29" i="30"/>
  <c r="B53" i="30"/>
  <c r="B51" i="30"/>
  <c r="B49" i="30"/>
  <c r="B52" i="30"/>
  <c r="B50" i="30"/>
  <c r="B45" i="30"/>
  <c r="B44" i="30"/>
  <c r="B47" i="30"/>
  <c r="I29" i="30"/>
  <c r="B48" i="30"/>
  <c r="B46" i="30"/>
  <c r="B13" i="30"/>
  <c r="M29" i="28"/>
  <c r="B53" i="28"/>
  <c r="B51" i="28"/>
  <c r="B49" i="28"/>
  <c r="B52" i="28"/>
  <c r="B50" i="28"/>
  <c r="B45" i="28"/>
  <c r="B44" i="28"/>
  <c r="B47" i="28"/>
  <c r="I29" i="28"/>
  <c r="B48" i="28"/>
  <c r="B46" i="28"/>
  <c r="B13" i="28"/>
  <c r="B13" i="27"/>
  <c r="B47" i="27"/>
  <c r="I29" i="27"/>
  <c r="B45" i="27"/>
  <c r="B48" i="27"/>
  <c r="B44" i="27"/>
  <c r="B46" i="27"/>
  <c r="B51" i="27"/>
  <c r="B50" i="27"/>
  <c r="N29" i="27"/>
  <c r="B52" i="27"/>
  <c r="B53" i="27"/>
  <c r="B49" i="27"/>
  <c r="D38" i="26"/>
  <c r="D36" i="26"/>
  <c r="D39" i="26"/>
  <c r="D37" i="26"/>
  <c r="D35" i="26"/>
  <c r="H38" i="26"/>
  <c r="H39" i="26"/>
  <c r="H37" i="26"/>
  <c r="H36" i="26"/>
  <c r="H35" i="26"/>
  <c r="F38" i="26"/>
  <c r="F37" i="26"/>
  <c r="F39" i="26"/>
  <c r="F36" i="26"/>
  <c r="F35" i="26"/>
  <c r="G38" i="26"/>
  <c r="G37" i="26"/>
  <c r="G36" i="26"/>
  <c r="G39" i="26"/>
  <c r="G35" i="26"/>
  <c r="B51" i="26"/>
  <c r="B53" i="26"/>
  <c r="B49" i="26"/>
  <c r="M29" i="26"/>
  <c r="B52" i="26"/>
  <c r="B50" i="26"/>
  <c r="E38" i="26"/>
  <c r="E37" i="26"/>
  <c r="E36" i="26"/>
  <c r="E39" i="26"/>
  <c r="E35" i="26"/>
  <c r="B47" i="26"/>
  <c r="B46" i="26"/>
  <c r="B48" i="26"/>
  <c r="B44" i="26"/>
  <c r="B45" i="26"/>
  <c r="I29" i="26"/>
  <c r="F39" i="24"/>
  <c r="E39" i="24"/>
  <c r="H35" i="24"/>
  <c r="H36" i="24"/>
  <c r="G39" i="24"/>
  <c r="G35" i="24"/>
  <c r="G36" i="24"/>
  <c r="H38" i="24"/>
  <c r="G37" i="24"/>
  <c r="H37" i="24"/>
  <c r="E37" i="24"/>
  <c r="F37" i="24"/>
  <c r="F35" i="24"/>
  <c r="F36" i="24"/>
  <c r="B51" i="24"/>
  <c r="B53" i="24"/>
  <c r="B50" i="24"/>
  <c r="B49" i="24"/>
  <c r="B52" i="24"/>
  <c r="M29" i="24"/>
  <c r="B48" i="24"/>
  <c r="I29" i="24"/>
  <c r="B47" i="24"/>
  <c r="B46" i="24"/>
  <c r="B45" i="24"/>
  <c r="B44" i="24"/>
  <c r="B13" i="24"/>
  <c r="F38" i="23"/>
  <c r="F39" i="23"/>
  <c r="F35" i="23"/>
  <c r="F36" i="23"/>
  <c r="F37" i="23"/>
  <c r="D35" i="23"/>
  <c r="D37" i="23"/>
  <c r="D36" i="23"/>
  <c r="D39" i="23"/>
  <c r="D38" i="23"/>
  <c r="E38" i="23"/>
  <c r="E37" i="23"/>
  <c r="E36" i="23"/>
  <c r="E39" i="23"/>
  <c r="E35" i="23"/>
  <c r="H36" i="23"/>
  <c r="H39" i="23"/>
  <c r="H37" i="23"/>
  <c r="H38" i="23"/>
  <c r="H35" i="23"/>
  <c r="D41" i="23" a="1"/>
  <c r="G38" i="23"/>
  <c r="G37" i="23"/>
  <c r="G35" i="23"/>
  <c r="G39" i="23"/>
  <c r="G36" i="23"/>
  <c r="B13" i="22"/>
  <c r="M29" i="22"/>
  <c r="B53" i="22"/>
  <c r="B51" i="22"/>
  <c r="B49" i="22"/>
  <c r="B52" i="22"/>
  <c r="B50" i="22"/>
  <c r="B45" i="22"/>
  <c r="B44" i="22"/>
  <c r="B47" i="22"/>
  <c r="I29" i="22"/>
  <c r="B48" i="22"/>
  <c r="B46" i="22"/>
  <c r="N29" i="21"/>
  <c r="B53" i="21"/>
  <c r="B51" i="21"/>
  <c r="B49" i="21"/>
  <c r="B52" i="21"/>
  <c r="B50" i="21"/>
  <c r="B45" i="21"/>
  <c r="B44" i="21"/>
  <c r="B47" i="21"/>
  <c r="I29" i="21"/>
  <c r="B48" i="21"/>
  <c r="B46" i="21"/>
  <c r="N29" i="19"/>
  <c r="B53" i="19"/>
  <c r="B51" i="19"/>
  <c r="B49" i="19"/>
  <c r="B52" i="19"/>
  <c r="B50" i="19"/>
  <c r="B45" i="19"/>
  <c r="B44" i="19"/>
  <c r="B47" i="19"/>
  <c r="I29" i="19"/>
  <c r="B48" i="19"/>
  <c r="B46" i="19"/>
  <c r="D37" i="17"/>
  <c r="D35" i="17"/>
  <c r="D38" i="17"/>
  <c r="F38" i="17"/>
  <c r="F37" i="17"/>
  <c r="F36" i="17"/>
  <c r="F39" i="17"/>
  <c r="B53" i="17"/>
  <c r="B51" i="17"/>
  <c r="B50" i="17"/>
  <c r="B49" i="17"/>
  <c r="N29" i="17"/>
  <c r="B52" i="17"/>
  <c r="B48" i="17"/>
  <c r="B46" i="17"/>
  <c r="B45" i="17"/>
  <c r="I29" i="17"/>
  <c r="B47" i="17"/>
  <c r="B44" i="17"/>
  <c r="M29" i="16"/>
  <c r="B53" i="16"/>
  <c r="B51" i="16"/>
  <c r="B49" i="16"/>
  <c r="B52" i="16"/>
  <c r="B50" i="16"/>
  <c r="B45" i="16"/>
  <c r="B44" i="16"/>
  <c r="B47" i="16"/>
  <c r="I29" i="16"/>
  <c r="B48" i="16"/>
  <c r="B46" i="16"/>
  <c r="D37" i="15"/>
  <c r="E36" i="15"/>
  <c r="D38" i="15"/>
  <c r="E35" i="15"/>
  <c r="D36" i="15"/>
  <c r="G36" i="15"/>
  <c r="H35" i="15"/>
  <c r="F36" i="15"/>
  <c r="F38" i="15"/>
  <c r="H39" i="15"/>
  <c r="F39" i="15"/>
  <c r="H38" i="15"/>
  <c r="F37" i="15"/>
  <c r="G38" i="15"/>
  <c r="G37" i="15"/>
  <c r="H37" i="15"/>
  <c r="G39" i="15"/>
  <c r="G35" i="15"/>
  <c r="B53" i="15"/>
  <c r="B52" i="15"/>
  <c r="B50" i="15"/>
  <c r="B49" i="15"/>
  <c r="B51" i="15"/>
  <c r="N29" i="15"/>
  <c r="B48" i="15"/>
  <c r="B47" i="15"/>
  <c r="B45" i="15"/>
  <c r="B44" i="15"/>
  <c r="I29" i="15"/>
  <c r="B46" i="15"/>
  <c r="H39" i="14"/>
  <c r="H36" i="14"/>
  <c r="H38" i="14"/>
  <c r="N29" i="14"/>
  <c r="B53" i="14"/>
  <c r="B51" i="14"/>
  <c r="B49" i="14"/>
  <c r="B52" i="14"/>
  <c r="B50" i="14"/>
  <c r="B45" i="14"/>
  <c r="B44" i="14"/>
  <c r="B47" i="14"/>
  <c r="I29" i="14"/>
  <c r="B48" i="14"/>
  <c r="B46" i="14"/>
  <c r="N29" i="11"/>
  <c r="B53" i="11"/>
  <c r="B51" i="11"/>
  <c r="B49" i="11"/>
  <c r="B52" i="11"/>
  <c r="B50" i="11"/>
  <c r="B45" i="11"/>
  <c r="B44" i="11"/>
  <c r="B47" i="11"/>
  <c r="I29" i="11"/>
  <c r="B48" i="11"/>
  <c r="B46" i="11"/>
  <c r="N29" i="10"/>
  <c r="B53" i="10"/>
  <c r="B51" i="10"/>
  <c r="B49" i="10"/>
  <c r="B52" i="10"/>
  <c r="B50" i="10"/>
  <c r="B45" i="10"/>
  <c r="B44" i="10"/>
  <c r="B47" i="10"/>
  <c r="I29" i="10"/>
  <c r="B48" i="10"/>
  <c r="B46" i="10"/>
  <c r="N29" i="9"/>
  <c r="B53" i="9"/>
  <c r="B51" i="9"/>
  <c r="B49" i="9"/>
  <c r="B52" i="9"/>
  <c r="B50" i="9"/>
  <c r="B45" i="9"/>
  <c r="B44" i="9"/>
  <c r="B47" i="9"/>
  <c r="I29" i="9"/>
  <c r="B48" i="9"/>
  <c r="B46" i="9"/>
  <c r="E22" i="2"/>
  <c r="B35" i="2" s="1"/>
  <c r="E25" i="2"/>
  <c r="B38" i="2" s="1"/>
  <c r="E26" i="2"/>
  <c r="B39" i="2" s="1"/>
  <c r="E24" i="2"/>
  <c r="B37" i="2" s="1"/>
  <c r="B29" i="2"/>
  <c r="C29" i="2"/>
  <c r="D41" i="26" l="1" a="1"/>
  <c r="I43" i="26" s="1"/>
  <c r="M43" i="35"/>
  <c r="I43" i="35"/>
  <c r="E43" i="35"/>
  <c r="K42" i="35"/>
  <c r="G42" i="35"/>
  <c r="M41" i="35"/>
  <c r="I41" i="35"/>
  <c r="E41" i="35"/>
  <c r="J43" i="35"/>
  <c r="D43" i="35"/>
  <c r="I42" i="35"/>
  <c r="D42" i="35"/>
  <c r="H41" i="35"/>
  <c r="H43" i="35"/>
  <c r="M42" i="35"/>
  <c r="H42" i="35"/>
  <c r="L41" i="35"/>
  <c r="G41" i="35"/>
  <c r="L43" i="35"/>
  <c r="G43" i="35"/>
  <c r="L42" i="35"/>
  <c r="F42" i="35"/>
  <c r="K41" i="35"/>
  <c r="F41" i="35"/>
  <c r="K43" i="35"/>
  <c r="F43" i="35"/>
  <c r="J42" i="35"/>
  <c r="E42" i="35"/>
  <c r="J41" i="35"/>
  <c r="D41" i="35"/>
  <c r="D41" i="34" a="1"/>
  <c r="M43" i="34" s="1"/>
  <c r="M43" i="33"/>
  <c r="I43" i="33"/>
  <c r="E43" i="33"/>
  <c r="K42" i="33"/>
  <c r="G42" i="33"/>
  <c r="M41" i="33"/>
  <c r="I41" i="33"/>
  <c r="E41" i="33"/>
  <c r="H43" i="33"/>
  <c r="M42" i="33"/>
  <c r="H42" i="33"/>
  <c r="L41" i="33"/>
  <c r="G41" i="33"/>
  <c r="L43" i="33"/>
  <c r="G43" i="33"/>
  <c r="L42" i="33"/>
  <c r="F42" i="33"/>
  <c r="K41" i="33"/>
  <c r="F41" i="33"/>
  <c r="K43" i="33"/>
  <c r="F43" i="33"/>
  <c r="J42" i="33"/>
  <c r="E42" i="33"/>
  <c r="J41" i="33"/>
  <c r="D41" i="33"/>
  <c r="J43" i="33"/>
  <c r="D43" i="33"/>
  <c r="I42" i="33"/>
  <c r="D42" i="33"/>
  <c r="H41" i="33"/>
  <c r="L43" i="32"/>
  <c r="H43" i="32"/>
  <c r="D43" i="32"/>
  <c r="J42" i="32"/>
  <c r="F42" i="32"/>
  <c r="L41" i="32"/>
  <c r="H41" i="32"/>
  <c r="D41" i="32"/>
  <c r="J43" i="32"/>
  <c r="E43" i="32"/>
  <c r="I42" i="32"/>
  <c r="D42" i="32"/>
  <c r="I41" i="32"/>
  <c r="I43" i="32"/>
  <c r="M42" i="32"/>
  <c r="H42" i="32"/>
  <c r="M41" i="32"/>
  <c r="G41" i="32"/>
  <c r="G43" i="32"/>
  <c r="G42" i="32"/>
  <c r="F41" i="32"/>
  <c r="F43" i="32"/>
  <c r="E42" i="32"/>
  <c r="E41" i="32"/>
  <c r="M43" i="32"/>
  <c r="L42" i="32"/>
  <c r="K41" i="32"/>
  <c r="K43" i="32"/>
  <c r="K42" i="32"/>
  <c r="J41" i="32"/>
  <c r="D41" i="31" a="1"/>
  <c r="M43" i="31" s="1"/>
  <c r="D41" i="30" a="1"/>
  <c r="D41" i="28" a="1"/>
  <c r="M43" i="28" s="1"/>
  <c r="D41" i="27" a="1"/>
  <c r="E41" i="26"/>
  <c r="F42" i="26"/>
  <c r="F41" i="26"/>
  <c r="D41" i="24" a="1"/>
  <c r="M43" i="23"/>
  <c r="I43" i="23"/>
  <c r="E43" i="23"/>
  <c r="K42" i="23"/>
  <c r="G42" i="23"/>
  <c r="M41" i="23"/>
  <c r="I41" i="23"/>
  <c r="E41" i="23"/>
  <c r="L42" i="23"/>
  <c r="J41" i="23"/>
  <c r="L43" i="23"/>
  <c r="H43" i="23"/>
  <c r="D43" i="23"/>
  <c r="J42" i="23"/>
  <c r="F42" i="23"/>
  <c r="L41" i="23"/>
  <c r="H41" i="23"/>
  <c r="D41" i="23"/>
  <c r="J43" i="23"/>
  <c r="D42" i="23"/>
  <c r="K43" i="23"/>
  <c r="G43" i="23"/>
  <c r="M42" i="23"/>
  <c r="I42" i="23"/>
  <c r="E42" i="23"/>
  <c r="K41" i="23"/>
  <c r="G41" i="23"/>
  <c r="F43" i="23"/>
  <c r="H42" i="23"/>
  <c r="F41" i="23"/>
  <c r="D41" i="22" a="1"/>
  <c r="M43" i="22" s="1"/>
  <c r="D41" i="21" a="1"/>
  <c r="M43" i="21" s="1"/>
  <c r="D41" i="19" a="1"/>
  <c r="D41" i="17" a="1"/>
  <c r="M43" i="17" s="1"/>
  <c r="D41" i="16" a="1"/>
  <c r="D41" i="15" a="1"/>
  <c r="D41" i="14" a="1"/>
  <c r="D41" i="11" a="1"/>
  <c r="D41" i="10" a="1"/>
  <c r="D41" i="9" a="1"/>
  <c r="M26" i="2"/>
  <c r="M24" i="2"/>
  <c r="M23" i="2"/>
  <c r="M25" i="2"/>
  <c r="M22" i="2"/>
  <c r="D33" i="2" a="1"/>
  <c r="D33" i="2" s="1"/>
  <c r="E17" i="2"/>
  <c r="D29" i="2"/>
  <c r="K43" i="26" l="1"/>
  <c r="K41" i="26"/>
  <c r="D43" i="26"/>
  <c r="I41" i="26"/>
  <c r="L42" i="26"/>
  <c r="L43" i="26"/>
  <c r="H43" i="26"/>
  <c r="H47" i="26" s="1"/>
  <c r="G42" i="26"/>
  <c r="G53" i="26" s="1"/>
  <c r="G41" i="26"/>
  <c r="M43" i="26"/>
  <c r="I42" i="26"/>
  <c r="J41" i="26"/>
  <c r="G43" i="26"/>
  <c r="F43" i="26"/>
  <c r="D41" i="26"/>
  <c r="K42" i="26"/>
  <c r="K45" i="26" s="1"/>
  <c r="D42" i="26"/>
  <c r="H41" i="26"/>
  <c r="E42" i="26"/>
  <c r="E43" i="26"/>
  <c r="J42" i="26"/>
  <c r="H42" i="26"/>
  <c r="M41" i="26"/>
  <c r="J43" i="26"/>
  <c r="J52" i="26" s="1"/>
  <c r="L41" i="26"/>
  <c r="M42" i="26"/>
  <c r="G46" i="35"/>
  <c r="G52" i="35"/>
  <c r="G53" i="35"/>
  <c r="G48" i="35"/>
  <c r="G51" i="35"/>
  <c r="G45" i="35"/>
  <c r="G47" i="35"/>
  <c r="G50" i="35"/>
  <c r="G44" i="35"/>
  <c r="G49" i="35"/>
  <c r="L45" i="35"/>
  <c r="L46" i="35"/>
  <c r="L47" i="35"/>
  <c r="L52" i="35"/>
  <c r="L51" i="35"/>
  <c r="L48" i="35"/>
  <c r="L50" i="35"/>
  <c r="L53" i="35"/>
  <c r="L44" i="35"/>
  <c r="L49" i="35"/>
  <c r="E47" i="35"/>
  <c r="E52" i="35"/>
  <c r="E51" i="35"/>
  <c r="E46" i="35"/>
  <c r="E48" i="35"/>
  <c r="E50" i="35"/>
  <c r="E53" i="35"/>
  <c r="E45" i="35"/>
  <c r="E49" i="35"/>
  <c r="E44" i="35"/>
  <c r="F48" i="35"/>
  <c r="F45" i="35"/>
  <c r="F46" i="35"/>
  <c r="F47" i="35"/>
  <c r="F50" i="35"/>
  <c r="F52" i="35"/>
  <c r="F53" i="35"/>
  <c r="F51" i="35"/>
  <c r="F44" i="35"/>
  <c r="F49" i="35"/>
  <c r="H48" i="35"/>
  <c r="H50" i="35"/>
  <c r="H53" i="35"/>
  <c r="H45" i="35"/>
  <c r="H46" i="35"/>
  <c r="H47" i="35"/>
  <c r="H52" i="35"/>
  <c r="H51" i="35"/>
  <c r="H49" i="35"/>
  <c r="H44" i="35"/>
  <c r="D47" i="35"/>
  <c r="D51" i="35"/>
  <c r="D48" i="35"/>
  <c r="D45" i="35"/>
  <c r="D46" i="35"/>
  <c r="D50" i="35"/>
  <c r="D53" i="35"/>
  <c r="D52" i="35"/>
  <c r="D44" i="35"/>
  <c r="D49" i="35"/>
  <c r="I46" i="35"/>
  <c r="I47" i="35"/>
  <c r="I52" i="35"/>
  <c r="I48" i="35"/>
  <c r="I50" i="35"/>
  <c r="I53" i="35"/>
  <c r="I45" i="35"/>
  <c r="I51" i="35"/>
  <c r="I49" i="35"/>
  <c r="I44" i="35"/>
  <c r="K48" i="35"/>
  <c r="K50" i="35"/>
  <c r="K51" i="35"/>
  <c r="K53" i="35"/>
  <c r="K47" i="35"/>
  <c r="K45" i="35"/>
  <c r="K46" i="35"/>
  <c r="K52" i="35"/>
  <c r="K49" i="35"/>
  <c r="K44" i="35"/>
  <c r="J45" i="35"/>
  <c r="J46" i="35"/>
  <c r="J52" i="35"/>
  <c r="J53" i="35"/>
  <c r="J48" i="35"/>
  <c r="J47" i="35"/>
  <c r="J50" i="35"/>
  <c r="J51" i="35"/>
  <c r="J44" i="35"/>
  <c r="J49" i="35"/>
  <c r="M48" i="35"/>
  <c r="M50" i="35"/>
  <c r="M53" i="35"/>
  <c r="M45" i="35"/>
  <c r="M47" i="35"/>
  <c r="M52" i="35"/>
  <c r="M51" i="35"/>
  <c r="M46" i="35"/>
  <c r="M44" i="35"/>
  <c r="M49" i="35"/>
  <c r="J42" i="34"/>
  <c r="H42" i="34"/>
  <c r="E41" i="34"/>
  <c r="F41" i="34"/>
  <c r="M42" i="34"/>
  <c r="M51" i="34" s="1"/>
  <c r="I41" i="34"/>
  <c r="D41" i="34"/>
  <c r="K41" i="34"/>
  <c r="D42" i="34"/>
  <c r="K42" i="34"/>
  <c r="E42" i="34"/>
  <c r="G43" i="34"/>
  <c r="G45" i="34" s="1"/>
  <c r="I42" i="34"/>
  <c r="I45" i="34" s="1"/>
  <c r="E43" i="34"/>
  <c r="L43" i="34"/>
  <c r="F43" i="34"/>
  <c r="F52" i="34" s="1"/>
  <c r="F42" i="34"/>
  <c r="G41" i="34"/>
  <c r="H43" i="34"/>
  <c r="D43" i="34"/>
  <c r="D45" i="34" s="1"/>
  <c r="M41" i="34"/>
  <c r="I43" i="34"/>
  <c r="J41" i="34"/>
  <c r="K43" i="34"/>
  <c r="L42" i="34"/>
  <c r="L41" i="34"/>
  <c r="H41" i="34"/>
  <c r="J43" i="34"/>
  <c r="J51" i="34" s="1"/>
  <c r="G42" i="34"/>
  <c r="M45" i="34"/>
  <c r="M53" i="34"/>
  <c r="M44" i="34"/>
  <c r="D52" i="33"/>
  <c r="D45" i="33"/>
  <c r="D51" i="33"/>
  <c r="D50" i="33"/>
  <c r="D48" i="33"/>
  <c r="D46" i="33"/>
  <c r="D53" i="33"/>
  <c r="D47" i="33"/>
  <c r="D44" i="33"/>
  <c r="D49" i="33"/>
  <c r="E46" i="33"/>
  <c r="E47" i="33"/>
  <c r="E45" i="33"/>
  <c r="E52" i="33"/>
  <c r="E51" i="33"/>
  <c r="E50" i="33"/>
  <c r="E48" i="33"/>
  <c r="E53" i="33"/>
  <c r="E44" i="33"/>
  <c r="E49" i="33"/>
  <c r="J45" i="33"/>
  <c r="J53" i="33"/>
  <c r="J52" i="33"/>
  <c r="J46" i="33"/>
  <c r="J47" i="33"/>
  <c r="J50" i="33"/>
  <c r="J48" i="33"/>
  <c r="J51" i="33"/>
  <c r="J49" i="33"/>
  <c r="J44" i="33"/>
  <c r="L50" i="33"/>
  <c r="L48" i="33"/>
  <c r="L46" i="33"/>
  <c r="L53" i="33"/>
  <c r="L47" i="33"/>
  <c r="L52" i="33"/>
  <c r="L45" i="33"/>
  <c r="L51" i="33"/>
  <c r="L49" i="33"/>
  <c r="L44" i="33"/>
  <c r="I45" i="33"/>
  <c r="I52" i="33"/>
  <c r="I51" i="33"/>
  <c r="I50" i="33"/>
  <c r="I48" i="33"/>
  <c r="I53" i="33"/>
  <c r="I46" i="33"/>
  <c r="I47" i="33"/>
  <c r="I44" i="33"/>
  <c r="I49" i="33"/>
  <c r="K52" i="33"/>
  <c r="K47" i="33"/>
  <c r="K50" i="33"/>
  <c r="K48" i="33"/>
  <c r="K45" i="33"/>
  <c r="K46" i="33"/>
  <c r="K51" i="33"/>
  <c r="K53" i="33"/>
  <c r="K49" i="33"/>
  <c r="K44" i="33"/>
  <c r="G45" i="33"/>
  <c r="G51" i="33"/>
  <c r="G46" i="33"/>
  <c r="G53" i="33"/>
  <c r="G52" i="33"/>
  <c r="G47" i="33"/>
  <c r="G50" i="33"/>
  <c r="G48" i="33"/>
  <c r="G49" i="33"/>
  <c r="G44" i="33"/>
  <c r="F50" i="33"/>
  <c r="F48" i="33"/>
  <c r="F51" i="33"/>
  <c r="F53" i="33"/>
  <c r="F52" i="33"/>
  <c r="F45" i="33"/>
  <c r="F46" i="33"/>
  <c r="F47" i="33"/>
  <c r="F44" i="33"/>
  <c r="F49" i="33"/>
  <c r="H52" i="33"/>
  <c r="H51" i="33"/>
  <c r="H50" i="33"/>
  <c r="H48" i="33"/>
  <c r="H53" i="33"/>
  <c r="H45" i="33"/>
  <c r="H47" i="33"/>
  <c r="H46" i="33"/>
  <c r="H49" i="33"/>
  <c r="H44" i="33"/>
  <c r="M52" i="33"/>
  <c r="M51" i="33"/>
  <c r="M50" i="33"/>
  <c r="M48" i="33"/>
  <c r="M53" i="33"/>
  <c r="M46" i="33"/>
  <c r="M47" i="33"/>
  <c r="M45" i="33"/>
  <c r="M49" i="33"/>
  <c r="M44" i="33"/>
  <c r="K46" i="32"/>
  <c r="K53" i="32"/>
  <c r="K48" i="32"/>
  <c r="K51" i="32"/>
  <c r="K47" i="32"/>
  <c r="K50" i="32"/>
  <c r="K45" i="32"/>
  <c r="K52" i="32"/>
  <c r="K44" i="32"/>
  <c r="K49" i="32"/>
  <c r="G53" i="32"/>
  <c r="G52" i="32"/>
  <c r="G48" i="32"/>
  <c r="G45" i="32"/>
  <c r="G47" i="32"/>
  <c r="G51" i="32"/>
  <c r="G46" i="32"/>
  <c r="G50" i="32"/>
  <c r="G44" i="32"/>
  <c r="G49" i="32"/>
  <c r="D51" i="32"/>
  <c r="D47" i="32"/>
  <c r="D50" i="32"/>
  <c r="D48" i="32"/>
  <c r="D53" i="32"/>
  <c r="D52" i="32"/>
  <c r="D45" i="32"/>
  <c r="D46" i="32"/>
  <c r="D49" i="32"/>
  <c r="D44" i="32"/>
  <c r="F50" i="32"/>
  <c r="F52" i="32"/>
  <c r="F45" i="32"/>
  <c r="F51" i="32"/>
  <c r="F53" i="32"/>
  <c r="F46" i="32"/>
  <c r="F48" i="32"/>
  <c r="F47" i="32"/>
  <c r="F49" i="32"/>
  <c r="F44" i="32"/>
  <c r="I53" i="32"/>
  <c r="I51" i="32"/>
  <c r="I52" i="32"/>
  <c r="I48" i="32"/>
  <c r="I46" i="32"/>
  <c r="I45" i="32"/>
  <c r="I47" i="32"/>
  <c r="I50" i="32"/>
  <c r="I44" i="32"/>
  <c r="I49" i="32"/>
  <c r="E51" i="32"/>
  <c r="E47" i="32"/>
  <c r="E53" i="32"/>
  <c r="E52" i="32"/>
  <c r="E50" i="32"/>
  <c r="E45" i="32"/>
  <c r="E48" i="32"/>
  <c r="E46" i="32"/>
  <c r="E44" i="32"/>
  <c r="E49" i="32"/>
  <c r="H51" i="32"/>
  <c r="H50" i="32"/>
  <c r="H53" i="32"/>
  <c r="H52" i="32"/>
  <c r="H48" i="32"/>
  <c r="H45" i="32"/>
  <c r="H46" i="32"/>
  <c r="H47" i="32"/>
  <c r="H49" i="32"/>
  <c r="H44" i="32"/>
  <c r="M52" i="32"/>
  <c r="M48" i="32"/>
  <c r="M46" i="32"/>
  <c r="M47" i="32"/>
  <c r="M53" i="32"/>
  <c r="M50" i="32"/>
  <c r="M51" i="32"/>
  <c r="M45" i="32"/>
  <c r="M49" i="32"/>
  <c r="M44" i="32"/>
  <c r="J45" i="32"/>
  <c r="J46" i="32"/>
  <c r="J50" i="32"/>
  <c r="J51" i="32"/>
  <c r="J52" i="32"/>
  <c r="J47" i="32"/>
  <c r="J48" i="32"/>
  <c r="J53" i="32"/>
  <c r="J44" i="32"/>
  <c r="J49" i="32"/>
  <c r="L53" i="32"/>
  <c r="L52" i="32"/>
  <c r="L48" i="32"/>
  <c r="L45" i="32"/>
  <c r="L51" i="32"/>
  <c r="L50" i="32"/>
  <c r="L46" i="32"/>
  <c r="L47" i="32"/>
  <c r="L49" i="32"/>
  <c r="L44" i="32"/>
  <c r="E42" i="31"/>
  <c r="J42" i="31"/>
  <c r="H42" i="31"/>
  <c r="G43" i="31"/>
  <c r="E41" i="31"/>
  <c r="L42" i="31"/>
  <c r="D41" i="31"/>
  <c r="I41" i="31"/>
  <c r="K41" i="31"/>
  <c r="H41" i="31"/>
  <c r="K42" i="31"/>
  <c r="K43" i="31"/>
  <c r="D43" i="31"/>
  <c r="D53" i="31" s="1"/>
  <c r="E43" i="31"/>
  <c r="E46" i="31" s="1"/>
  <c r="F41" i="31"/>
  <c r="J43" i="31"/>
  <c r="J50" i="31" s="1"/>
  <c r="I42" i="31"/>
  <c r="D42" i="31"/>
  <c r="D45" i="31" s="1"/>
  <c r="L41" i="31"/>
  <c r="H43" i="31"/>
  <c r="M41" i="31"/>
  <c r="I43" i="31"/>
  <c r="I51" i="31" s="1"/>
  <c r="J41" i="31"/>
  <c r="G41" i="31"/>
  <c r="M42" i="31"/>
  <c r="F43" i="31"/>
  <c r="F42" i="31"/>
  <c r="L43" i="31"/>
  <c r="G42" i="31"/>
  <c r="D51" i="31"/>
  <c r="D47" i="31"/>
  <c r="E45" i="31"/>
  <c r="E52" i="31"/>
  <c r="E44" i="31"/>
  <c r="I48" i="31"/>
  <c r="I53" i="31"/>
  <c r="I44" i="31"/>
  <c r="M51" i="31"/>
  <c r="M48" i="31"/>
  <c r="M45" i="31"/>
  <c r="M46" i="31"/>
  <c r="M47" i="31"/>
  <c r="M52" i="31"/>
  <c r="M50" i="31"/>
  <c r="M53" i="31"/>
  <c r="M49" i="31"/>
  <c r="M44" i="31"/>
  <c r="M43" i="30"/>
  <c r="I43" i="30"/>
  <c r="E43" i="30"/>
  <c r="K42" i="30"/>
  <c r="G42" i="30"/>
  <c r="M41" i="30"/>
  <c r="I41" i="30"/>
  <c r="E41" i="30"/>
  <c r="J43" i="30"/>
  <c r="D43" i="30"/>
  <c r="I42" i="30"/>
  <c r="D42" i="30"/>
  <c r="H41" i="30"/>
  <c r="H43" i="30"/>
  <c r="M42" i="30"/>
  <c r="H42" i="30"/>
  <c r="L41" i="30"/>
  <c r="G41" i="30"/>
  <c r="L43" i="30"/>
  <c r="G43" i="30"/>
  <c r="L42" i="30"/>
  <c r="F42" i="30"/>
  <c r="K41" i="30"/>
  <c r="F41" i="30"/>
  <c r="K43" i="30"/>
  <c r="F43" i="30"/>
  <c r="J42" i="30"/>
  <c r="E42" i="30"/>
  <c r="J41" i="30"/>
  <c r="D41" i="30"/>
  <c r="E42" i="28"/>
  <c r="G43" i="28"/>
  <c r="G46" i="28" s="1"/>
  <c r="I42" i="28"/>
  <c r="J42" i="28"/>
  <c r="H42" i="28"/>
  <c r="E41" i="28"/>
  <c r="F41" i="28"/>
  <c r="M42" i="28"/>
  <c r="M45" i="28" s="1"/>
  <c r="I41" i="28"/>
  <c r="D41" i="28"/>
  <c r="K41" i="28"/>
  <c r="D42" i="28"/>
  <c r="K42" i="28"/>
  <c r="L43" i="28"/>
  <c r="L51" i="28" s="1"/>
  <c r="E43" i="28"/>
  <c r="F43" i="28"/>
  <c r="F42" i="28"/>
  <c r="G41" i="28"/>
  <c r="H43" i="28"/>
  <c r="D43" i="28"/>
  <c r="D45" i="28" s="1"/>
  <c r="M41" i="28"/>
  <c r="I43" i="28"/>
  <c r="J41" i="28"/>
  <c r="K43" i="28"/>
  <c r="L42" i="28"/>
  <c r="L41" i="28"/>
  <c r="H41" i="28"/>
  <c r="J43" i="28"/>
  <c r="J53" i="28" s="1"/>
  <c r="G42" i="28"/>
  <c r="G47" i="28"/>
  <c r="M43" i="27"/>
  <c r="I43" i="27"/>
  <c r="E43" i="27"/>
  <c r="K42" i="27"/>
  <c r="G42" i="27"/>
  <c r="M41" i="27"/>
  <c r="I41" i="27"/>
  <c r="E41" i="27"/>
  <c r="I42" i="27"/>
  <c r="K41" i="27"/>
  <c r="L43" i="27"/>
  <c r="H43" i="27"/>
  <c r="D43" i="27"/>
  <c r="J42" i="27"/>
  <c r="F42" i="27"/>
  <c r="L41" i="27"/>
  <c r="H41" i="27"/>
  <c r="D41" i="27"/>
  <c r="K43" i="27"/>
  <c r="G43" i="27"/>
  <c r="M42" i="27"/>
  <c r="E42" i="27"/>
  <c r="G41" i="27"/>
  <c r="L42" i="27"/>
  <c r="F41" i="27"/>
  <c r="D42" i="27"/>
  <c r="J41" i="27"/>
  <c r="H42" i="27"/>
  <c r="J43" i="27"/>
  <c r="F43" i="27"/>
  <c r="F46" i="26"/>
  <c r="F50" i="26"/>
  <c r="F51" i="26"/>
  <c r="F45" i="26"/>
  <c r="F47" i="26"/>
  <c r="F48" i="26"/>
  <c r="F52" i="26"/>
  <c r="F53" i="26"/>
  <c r="F44" i="26"/>
  <c r="F49" i="26"/>
  <c r="D48" i="26"/>
  <c r="D53" i="26"/>
  <c r="D52" i="26"/>
  <c r="D50" i="26"/>
  <c r="D51" i="26"/>
  <c r="D45" i="26"/>
  <c r="D46" i="26"/>
  <c r="D47" i="26"/>
  <c r="D44" i="26"/>
  <c r="D49" i="26"/>
  <c r="E48" i="26"/>
  <c r="E53" i="26"/>
  <c r="E52" i="26"/>
  <c r="E50" i="26"/>
  <c r="E51" i="26"/>
  <c r="E45" i="26"/>
  <c r="E46" i="26"/>
  <c r="E47" i="26"/>
  <c r="E44" i="26"/>
  <c r="E49" i="26"/>
  <c r="J48" i="26"/>
  <c r="H45" i="26"/>
  <c r="H46" i="26"/>
  <c r="I50" i="26"/>
  <c r="I51" i="26"/>
  <c r="I45" i="26"/>
  <c r="I46" i="26"/>
  <c r="I47" i="26"/>
  <c r="I48" i="26"/>
  <c r="I53" i="26"/>
  <c r="I52" i="26"/>
  <c r="I49" i="26"/>
  <c r="I44" i="26"/>
  <c r="G48" i="26"/>
  <c r="G49" i="26"/>
  <c r="L50" i="26"/>
  <c r="L51" i="26"/>
  <c r="L45" i="26"/>
  <c r="L46" i="26"/>
  <c r="L47" i="26"/>
  <c r="L48" i="26"/>
  <c r="L53" i="26"/>
  <c r="L52" i="26"/>
  <c r="L49" i="26"/>
  <c r="L44" i="26"/>
  <c r="K51" i="26"/>
  <c r="M50" i="26"/>
  <c r="M51" i="26"/>
  <c r="M45" i="26"/>
  <c r="M46" i="26"/>
  <c r="M47" i="26"/>
  <c r="M48" i="26"/>
  <c r="M53" i="26"/>
  <c r="M52" i="26"/>
  <c r="M49" i="26"/>
  <c r="M44" i="26"/>
  <c r="M43" i="24"/>
  <c r="I43" i="24"/>
  <c r="E43" i="24"/>
  <c r="K42" i="24"/>
  <c r="G42" i="24"/>
  <c r="M41" i="24"/>
  <c r="I41" i="24"/>
  <c r="E41" i="24"/>
  <c r="J43" i="24"/>
  <c r="L42" i="24"/>
  <c r="J41" i="24"/>
  <c r="L43" i="24"/>
  <c r="H43" i="24"/>
  <c r="D43" i="24"/>
  <c r="J42" i="24"/>
  <c r="F42" i="24"/>
  <c r="L41" i="24"/>
  <c r="H41" i="24"/>
  <c r="D41" i="24"/>
  <c r="F43" i="24"/>
  <c r="H42" i="24"/>
  <c r="F41" i="24"/>
  <c r="K43" i="24"/>
  <c r="G43" i="24"/>
  <c r="M42" i="24"/>
  <c r="I42" i="24"/>
  <c r="E42" i="24"/>
  <c r="K41" i="24"/>
  <c r="G41" i="24"/>
  <c r="D42" i="24"/>
  <c r="F46" i="23"/>
  <c r="F47" i="23"/>
  <c r="F50" i="23"/>
  <c r="F45" i="23"/>
  <c r="F53" i="23"/>
  <c r="F52" i="23"/>
  <c r="F51" i="23"/>
  <c r="F48" i="23"/>
  <c r="F44" i="23"/>
  <c r="F49" i="23"/>
  <c r="H52" i="23"/>
  <c r="H48" i="23"/>
  <c r="H50" i="23"/>
  <c r="H46" i="23"/>
  <c r="H51" i="23"/>
  <c r="H47" i="23"/>
  <c r="H45" i="23"/>
  <c r="H53" i="23"/>
  <c r="H49" i="23"/>
  <c r="H44" i="23"/>
  <c r="J47" i="23"/>
  <c r="J53" i="23"/>
  <c r="J45" i="23"/>
  <c r="J52" i="23"/>
  <c r="J50" i="23"/>
  <c r="J46" i="23"/>
  <c r="J48" i="23"/>
  <c r="J51" i="23"/>
  <c r="J44" i="23"/>
  <c r="J49" i="23"/>
  <c r="L51" i="23"/>
  <c r="L46" i="23"/>
  <c r="L52" i="23"/>
  <c r="L47" i="23"/>
  <c r="L50" i="23"/>
  <c r="L45" i="23"/>
  <c r="L53" i="23"/>
  <c r="L48" i="23"/>
  <c r="L44" i="23"/>
  <c r="L49" i="23"/>
  <c r="E50" i="23"/>
  <c r="E52" i="23"/>
  <c r="E51" i="23"/>
  <c r="E47" i="23"/>
  <c r="E45" i="23"/>
  <c r="E46" i="23"/>
  <c r="E53" i="23"/>
  <c r="E48" i="23"/>
  <c r="E44" i="23"/>
  <c r="E49" i="23"/>
  <c r="I46" i="23"/>
  <c r="I53" i="23"/>
  <c r="I48" i="23"/>
  <c r="I47" i="23"/>
  <c r="I50" i="23"/>
  <c r="I52" i="23"/>
  <c r="I51" i="23"/>
  <c r="I45" i="23"/>
  <c r="I44" i="23"/>
  <c r="I49" i="23"/>
  <c r="G52" i="23"/>
  <c r="G51" i="23"/>
  <c r="G48" i="23"/>
  <c r="G47" i="23"/>
  <c r="G50" i="23"/>
  <c r="G53" i="23"/>
  <c r="G45" i="23"/>
  <c r="G46" i="23"/>
  <c r="G49" i="23"/>
  <c r="G44" i="23"/>
  <c r="K53" i="23"/>
  <c r="K51" i="23"/>
  <c r="K48" i="23"/>
  <c r="K47" i="23"/>
  <c r="K50" i="23"/>
  <c r="K45" i="23"/>
  <c r="K46" i="23"/>
  <c r="K52" i="23"/>
  <c r="K44" i="23"/>
  <c r="K49" i="23"/>
  <c r="D46" i="23"/>
  <c r="D53" i="23"/>
  <c r="D45" i="23"/>
  <c r="D52" i="23"/>
  <c r="D48" i="23"/>
  <c r="D51" i="23"/>
  <c r="D47" i="23"/>
  <c r="D50" i="23"/>
  <c r="D44" i="23"/>
  <c r="D49" i="23"/>
  <c r="M46" i="23"/>
  <c r="M52" i="23"/>
  <c r="M51" i="23"/>
  <c r="M50" i="23"/>
  <c r="M53" i="23"/>
  <c r="M48" i="23"/>
  <c r="M47" i="23"/>
  <c r="M45" i="23"/>
  <c r="M49" i="23"/>
  <c r="M44" i="23"/>
  <c r="E42" i="22"/>
  <c r="F41" i="22"/>
  <c r="G43" i="22"/>
  <c r="G47" i="22" s="1"/>
  <c r="H42" i="22"/>
  <c r="D42" i="22"/>
  <c r="E41" i="22"/>
  <c r="K42" i="22"/>
  <c r="J42" i="22"/>
  <c r="K41" i="22"/>
  <c r="L43" i="22"/>
  <c r="L52" i="22" s="1"/>
  <c r="M42" i="22"/>
  <c r="M51" i="22" s="1"/>
  <c r="I42" i="22"/>
  <c r="I41" i="22"/>
  <c r="E43" i="22"/>
  <c r="E46" i="22" s="1"/>
  <c r="D41" i="22"/>
  <c r="F43" i="22"/>
  <c r="F42" i="22"/>
  <c r="G41" i="22"/>
  <c r="H43" i="22"/>
  <c r="D43" i="22"/>
  <c r="M41" i="22"/>
  <c r="I43" i="22"/>
  <c r="J41" i="22"/>
  <c r="K43" i="22"/>
  <c r="L42" i="22"/>
  <c r="L49" i="22" s="1"/>
  <c r="L41" i="22"/>
  <c r="H41" i="22"/>
  <c r="J43" i="22"/>
  <c r="J51" i="22" s="1"/>
  <c r="G42" i="22"/>
  <c r="L53" i="22"/>
  <c r="L44" i="22"/>
  <c r="E52" i="22"/>
  <c r="E47" i="22"/>
  <c r="E42" i="21"/>
  <c r="F41" i="21"/>
  <c r="G43" i="21"/>
  <c r="H42" i="21"/>
  <c r="D42" i="21"/>
  <c r="E41" i="21"/>
  <c r="K42" i="21"/>
  <c r="J42" i="21"/>
  <c r="K41" i="21"/>
  <c r="L43" i="21"/>
  <c r="L52" i="21" s="1"/>
  <c r="M42" i="21"/>
  <c r="M51" i="21" s="1"/>
  <c r="I42" i="21"/>
  <c r="I41" i="21"/>
  <c r="E43" i="21"/>
  <c r="E48" i="21" s="1"/>
  <c r="D41" i="21"/>
  <c r="F43" i="21"/>
  <c r="F53" i="21" s="1"/>
  <c r="F42" i="21"/>
  <c r="G41" i="21"/>
  <c r="H43" i="21"/>
  <c r="D43" i="21"/>
  <c r="D46" i="21" s="1"/>
  <c r="M41" i="21"/>
  <c r="I43" i="21"/>
  <c r="J41" i="21"/>
  <c r="K43" i="21"/>
  <c r="L42" i="21"/>
  <c r="L41" i="21"/>
  <c r="H41" i="21"/>
  <c r="J43" i="21"/>
  <c r="G42" i="21"/>
  <c r="M43" i="19"/>
  <c r="I43" i="19"/>
  <c r="E43" i="19"/>
  <c r="K42" i="19"/>
  <c r="G42" i="19"/>
  <c r="M41" i="19"/>
  <c r="I41" i="19"/>
  <c r="E41" i="19"/>
  <c r="J43" i="19"/>
  <c r="D43" i="19"/>
  <c r="I42" i="19"/>
  <c r="D42" i="19"/>
  <c r="H41" i="19"/>
  <c r="H43" i="19"/>
  <c r="M42" i="19"/>
  <c r="H42" i="19"/>
  <c r="L41" i="19"/>
  <c r="G41" i="19"/>
  <c r="L43" i="19"/>
  <c r="G43" i="19"/>
  <c r="L42" i="19"/>
  <c r="F42" i="19"/>
  <c r="K41" i="19"/>
  <c r="F41" i="19"/>
  <c r="K43" i="19"/>
  <c r="F43" i="19"/>
  <c r="J42" i="19"/>
  <c r="E42" i="19"/>
  <c r="J41" i="19"/>
  <c r="D41" i="19"/>
  <c r="G41" i="17"/>
  <c r="M42" i="17"/>
  <c r="M53" i="17" s="1"/>
  <c r="D41" i="17"/>
  <c r="J42" i="17"/>
  <c r="F41" i="17"/>
  <c r="E41" i="17"/>
  <c r="K42" i="17"/>
  <c r="K41" i="17"/>
  <c r="G43" i="17"/>
  <c r="G53" i="17" s="1"/>
  <c r="H41" i="17"/>
  <c r="D43" i="17"/>
  <c r="D42" i="17"/>
  <c r="I41" i="17"/>
  <c r="E43" i="17"/>
  <c r="J41" i="17"/>
  <c r="E42" i="17"/>
  <c r="K43" i="17"/>
  <c r="L41" i="17"/>
  <c r="H43" i="17"/>
  <c r="F43" i="17"/>
  <c r="M41" i="17"/>
  <c r="I43" i="17"/>
  <c r="L42" i="17"/>
  <c r="I42" i="17"/>
  <c r="H42" i="17"/>
  <c r="F42" i="17"/>
  <c r="L43" i="17"/>
  <c r="J43" i="17"/>
  <c r="J45" i="17" s="1"/>
  <c r="G42" i="17"/>
  <c r="M48" i="17"/>
  <c r="M45" i="17"/>
  <c r="M49" i="17"/>
  <c r="M43" i="16"/>
  <c r="I43" i="16"/>
  <c r="E43" i="16"/>
  <c r="K42" i="16"/>
  <c r="G42" i="16"/>
  <c r="M41" i="16"/>
  <c r="I41" i="16"/>
  <c r="E41" i="16"/>
  <c r="J43" i="16"/>
  <c r="D43" i="16"/>
  <c r="I42" i="16"/>
  <c r="D42" i="16"/>
  <c r="H41" i="16"/>
  <c r="H43" i="16"/>
  <c r="M42" i="16"/>
  <c r="H42" i="16"/>
  <c r="L41" i="16"/>
  <c r="G41" i="16"/>
  <c r="L43" i="16"/>
  <c r="G43" i="16"/>
  <c r="L42" i="16"/>
  <c r="F42" i="16"/>
  <c r="K41" i="16"/>
  <c r="F41" i="16"/>
  <c r="K43" i="16"/>
  <c r="F43" i="16"/>
  <c r="J42" i="16"/>
  <c r="E42" i="16"/>
  <c r="J41" i="16"/>
  <c r="D41" i="16"/>
  <c r="M43" i="15"/>
  <c r="I43" i="15"/>
  <c r="E43" i="15"/>
  <c r="K42" i="15"/>
  <c r="G42" i="15"/>
  <c r="M41" i="15"/>
  <c r="I41" i="15"/>
  <c r="E41" i="15"/>
  <c r="L42" i="15"/>
  <c r="F41" i="15"/>
  <c r="L43" i="15"/>
  <c r="H43" i="15"/>
  <c r="D43" i="15"/>
  <c r="J42" i="15"/>
  <c r="F42" i="15"/>
  <c r="L41" i="15"/>
  <c r="H41" i="15"/>
  <c r="D41" i="15"/>
  <c r="H42" i="15"/>
  <c r="J41" i="15"/>
  <c r="K43" i="15"/>
  <c r="G43" i="15"/>
  <c r="M42" i="15"/>
  <c r="I42" i="15"/>
  <c r="E42" i="15"/>
  <c r="K41" i="15"/>
  <c r="G41" i="15"/>
  <c r="J43" i="15"/>
  <c r="F43" i="15"/>
  <c r="D42" i="15"/>
  <c r="M43" i="14"/>
  <c r="I43" i="14"/>
  <c r="E43" i="14"/>
  <c r="K42" i="14"/>
  <c r="G42" i="14"/>
  <c r="M41" i="14"/>
  <c r="I41" i="14"/>
  <c r="E41" i="14"/>
  <c r="J43" i="14"/>
  <c r="D43" i="14"/>
  <c r="I42" i="14"/>
  <c r="D42" i="14"/>
  <c r="H41" i="14"/>
  <c r="H43" i="14"/>
  <c r="M42" i="14"/>
  <c r="H42" i="14"/>
  <c r="L41" i="14"/>
  <c r="G41" i="14"/>
  <c r="L43" i="14"/>
  <c r="G43" i="14"/>
  <c r="L42" i="14"/>
  <c r="F42" i="14"/>
  <c r="K41" i="14"/>
  <c r="F41" i="14"/>
  <c r="K43" i="14"/>
  <c r="F43" i="14"/>
  <c r="J42" i="14"/>
  <c r="E42" i="14"/>
  <c r="J41" i="14"/>
  <c r="D41" i="14"/>
  <c r="M43" i="11"/>
  <c r="I43" i="11"/>
  <c r="E43" i="11"/>
  <c r="K42" i="11"/>
  <c r="G42" i="11"/>
  <c r="M41" i="11"/>
  <c r="I41" i="11"/>
  <c r="E41" i="11"/>
  <c r="J43" i="11"/>
  <c r="D43" i="11"/>
  <c r="I42" i="11"/>
  <c r="D42" i="11"/>
  <c r="H41" i="11"/>
  <c r="H43" i="11"/>
  <c r="M42" i="11"/>
  <c r="H42" i="11"/>
  <c r="L41" i="11"/>
  <c r="G41" i="11"/>
  <c r="L43" i="11"/>
  <c r="G43" i="11"/>
  <c r="L42" i="11"/>
  <c r="F42" i="11"/>
  <c r="K41" i="11"/>
  <c r="F41" i="11"/>
  <c r="K43" i="11"/>
  <c r="F43" i="11"/>
  <c r="J42" i="11"/>
  <c r="E42" i="11"/>
  <c r="J41" i="11"/>
  <c r="D41" i="11"/>
  <c r="M43" i="10"/>
  <c r="I43" i="10"/>
  <c r="E43" i="10"/>
  <c r="K42" i="10"/>
  <c r="G42" i="10"/>
  <c r="M41" i="10"/>
  <c r="I41" i="10"/>
  <c r="E41" i="10"/>
  <c r="J43" i="10"/>
  <c r="D43" i="10"/>
  <c r="I42" i="10"/>
  <c r="D42" i="10"/>
  <c r="H41" i="10"/>
  <c r="H43" i="10"/>
  <c r="M42" i="10"/>
  <c r="H42" i="10"/>
  <c r="L41" i="10"/>
  <c r="G41" i="10"/>
  <c r="L43" i="10"/>
  <c r="G43" i="10"/>
  <c r="L42" i="10"/>
  <c r="F42" i="10"/>
  <c r="K41" i="10"/>
  <c r="F41" i="10"/>
  <c r="K43" i="10"/>
  <c r="F43" i="10"/>
  <c r="J42" i="10"/>
  <c r="E42" i="10"/>
  <c r="J41" i="10"/>
  <c r="D41" i="10"/>
  <c r="M43" i="9"/>
  <c r="I43" i="9"/>
  <c r="E43" i="9"/>
  <c r="K42" i="9"/>
  <c r="G42" i="9"/>
  <c r="M41" i="9"/>
  <c r="I41" i="9"/>
  <c r="E41" i="9"/>
  <c r="J43" i="9"/>
  <c r="D43" i="9"/>
  <c r="I42" i="9"/>
  <c r="D42" i="9"/>
  <c r="H41" i="9"/>
  <c r="H43" i="9"/>
  <c r="M42" i="9"/>
  <c r="H42" i="9"/>
  <c r="L41" i="9"/>
  <c r="G41" i="9"/>
  <c r="L43" i="9"/>
  <c r="G43" i="9"/>
  <c r="L42" i="9"/>
  <c r="F42" i="9"/>
  <c r="K41" i="9"/>
  <c r="F41" i="9"/>
  <c r="K43" i="9"/>
  <c r="F43" i="9"/>
  <c r="J42" i="9"/>
  <c r="E42" i="9"/>
  <c r="J41" i="9"/>
  <c r="D41" i="9"/>
  <c r="K29" i="2"/>
  <c r="L29" i="2"/>
  <c r="I29" i="2"/>
  <c r="G29" i="2"/>
  <c r="F33" i="2"/>
  <c r="E34" i="2"/>
  <c r="G34" i="2"/>
  <c r="H33" i="2"/>
  <c r="E33" i="2"/>
  <c r="H34" i="2"/>
  <c r="F34" i="2"/>
  <c r="D34" i="2"/>
  <c r="D39" i="2" s="1"/>
  <c r="G33" i="2"/>
  <c r="K50" i="34" l="1"/>
  <c r="H51" i="34"/>
  <c r="E46" i="34"/>
  <c r="D46" i="31"/>
  <c r="E51" i="31"/>
  <c r="D50" i="31"/>
  <c r="D44" i="31"/>
  <c r="I46" i="31"/>
  <c r="D49" i="31"/>
  <c r="F48" i="31"/>
  <c r="I50" i="31"/>
  <c r="E53" i="31"/>
  <c r="I49" i="31"/>
  <c r="I52" i="31"/>
  <c r="E50" i="31"/>
  <c r="I47" i="31"/>
  <c r="E49" i="31"/>
  <c r="E48" i="31"/>
  <c r="I45" i="31"/>
  <c r="E47" i="31"/>
  <c r="D52" i="31"/>
  <c r="L45" i="31"/>
  <c r="H50" i="31"/>
  <c r="K51" i="31"/>
  <c r="G52" i="31"/>
  <c r="L46" i="22"/>
  <c r="K50" i="22"/>
  <c r="F52" i="22"/>
  <c r="E44" i="22"/>
  <c r="E51" i="22"/>
  <c r="D46" i="22"/>
  <c r="I50" i="22"/>
  <c r="H47" i="22"/>
  <c r="K52" i="26"/>
  <c r="G46" i="26"/>
  <c r="H51" i="26"/>
  <c r="J46" i="26"/>
  <c r="K44" i="26"/>
  <c r="K53" i="26"/>
  <c r="G45" i="26"/>
  <c r="H44" i="26"/>
  <c r="H50" i="26"/>
  <c r="J47" i="26"/>
  <c r="J53" i="26"/>
  <c r="K49" i="26"/>
  <c r="K48" i="26"/>
  <c r="G51" i="26"/>
  <c r="H49" i="26"/>
  <c r="H52" i="26"/>
  <c r="J45" i="26"/>
  <c r="K47" i="26"/>
  <c r="G50" i="26"/>
  <c r="H53" i="26"/>
  <c r="J44" i="26"/>
  <c r="J51" i="26"/>
  <c r="K46" i="26"/>
  <c r="G52" i="26"/>
  <c r="H48" i="26"/>
  <c r="J49" i="26"/>
  <c r="J50" i="26"/>
  <c r="K50" i="26"/>
  <c r="G47" i="26"/>
  <c r="G44" i="26"/>
  <c r="K51" i="17"/>
  <c r="H46" i="21"/>
  <c r="E50" i="21"/>
  <c r="L51" i="21"/>
  <c r="J53" i="21"/>
  <c r="E51" i="21"/>
  <c r="E45" i="21"/>
  <c r="K50" i="21"/>
  <c r="E52" i="21"/>
  <c r="I45" i="21"/>
  <c r="E49" i="21"/>
  <c r="E47" i="21"/>
  <c r="L48" i="21"/>
  <c r="L53" i="21"/>
  <c r="E46" i="21"/>
  <c r="L45" i="21"/>
  <c r="L46" i="21"/>
  <c r="E44" i="21"/>
  <c r="E53" i="21"/>
  <c r="L49" i="21"/>
  <c r="L50" i="21"/>
  <c r="G47" i="21"/>
  <c r="G48" i="17"/>
  <c r="H47" i="17"/>
  <c r="M50" i="17"/>
  <c r="G51" i="17"/>
  <c r="G45" i="17"/>
  <c r="G47" i="17"/>
  <c r="L53" i="17"/>
  <c r="H46" i="34"/>
  <c r="E50" i="34"/>
  <c r="K51" i="34"/>
  <c r="J47" i="34"/>
  <c r="H44" i="34"/>
  <c r="J45" i="34"/>
  <c r="J49" i="34"/>
  <c r="J50" i="34"/>
  <c r="D48" i="34"/>
  <c r="G44" i="34"/>
  <c r="E53" i="34"/>
  <c r="K53" i="34"/>
  <c r="J48" i="34"/>
  <c r="K44" i="34"/>
  <c r="D50" i="34"/>
  <c r="F53" i="34"/>
  <c r="G51" i="34"/>
  <c r="L52" i="34"/>
  <c r="F48" i="34"/>
  <c r="D52" i="34"/>
  <c r="M50" i="34"/>
  <c r="D51" i="34"/>
  <c r="F46" i="34"/>
  <c r="G46" i="34"/>
  <c r="M48" i="34"/>
  <c r="M47" i="34"/>
  <c r="J44" i="34"/>
  <c r="J52" i="34"/>
  <c r="J53" i="34"/>
  <c r="K46" i="34"/>
  <c r="D44" i="34"/>
  <c r="D53" i="34"/>
  <c r="D46" i="34"/>
  <c r="F47" i="34"/>
  <c r="L49" i="34"/>
  <c r="G47" i="34"/>
  <c r="H47" i="34"/>
  <c r="L53" i="34"/>
  <c r="E47" i="34"/>
  <c r="M46" i="34"/>
  <c r="M49" i="34"/>
  <c r="M52" i="34"/>
  <c r="J46" i="34"/>
  <c r="K49" i="34"/>
  <c r="D49" i="34"/>
  <c r="D47" i="34"/>
  <c r="F44" i="34"/>
  <c r="I51" i="34"/>
  <c r="K45" i="34"/>
  <c r="H48" i="34"/>
  <c r="H45" i="34"/>
  <c r="E48" i="34"/>
  <c r="L45" i="34"/>
  <c r="K48" i="34"/>
  <c r="K47" i="34"/>
  <c r="I49" i="34"/>
  <c r="H52" i="34"/>
  <c r="H50" i="34"/>
  <c r="E44" i="34"/>
  <c r="E51" i="34"/>
  <c r="E52" i="34"/>
  <c r="L50" i="34"/>
  <c r="L46" i="34"/>
  <c r="K52" i="34"/>
  <c r="I53" i="34"/>
  <c r="H49" i="34"/>
  <c r="H53" i="34"/>
  <c r="E49" i="34"/>
  <c r="E45" i="34"/>
  <c r="L48" i="34"/>
  <c r="G48" i="34"/>
  <c r="I46" i="34"/>
  <c r="I50" i="34"/>
  <c r="I48" i="34"/>
  <c r="I47" i="34"/>
  <c r="F49" i="34"/>
  <c r="F45" i="34"/>
  <c r="F51" i="34"/>
  <c r="L44" i="34"/>
  <c r="L51" i="34"/>
  <c r="G50" i="34"/>
  <c r="G52" i="34"/>
  <c r="I44" i="34"/>
  <c r="I52" i="34"/>
  <c r="F50" i="34"/>
  <c r="L47" i="34"/>
  <c r="G49" i="34"/>
  <c r="G53" i="34"/>
  <c r="D48" i="31"/>
  <c r="L51" i="31"/>
  <c r="K48" i="31"/>
  <c r="H52" i="31"/>
  <c r="K46" i="31"/>
  <c r="F47" i="31"/>
  <c r="H44" i="31"/>
  <c r="J48" i="31"/>
  <c r="G50" i="31"/>
  <c r="L48" i="31"/>
  <c r="J52" i="31"/>
  <c r="F50" i="31"/>
  <c r="H46" i="31"/>
  <c r="K49" i="31"/>
  <c r="L53" i="31"/>
  <c r="L47" i="31"/>
  <c r="H45" i="31"/>
  <c r="K44" i="31"/>
  <c r="K52" i="31"/>
  <c r="K45" i="31"/>
  <c r="G45" i="31"/>
  <c r="L44" i="31"/>
  <c r="L50" i="31"/>
  <c r="L46" i="31"/>
  <c r="H48" i="31"/>
  <c r="H53" i="31"/>
  <c r="J44" i="31"/>
  <c r="J46" i="31"/>
  <c r="J53" i="31"/>
  <c r="K53" i="31"/>
  <c r="K47" i="31"/>
  <c r="G44" i="31"/>
  <c r="G47" i="31"/>
  <c r="H49" i="31"/>
  <c r="H51" i="31"/>
  <c r="J45" i="31"/>
  <c r="J51" i="31"/>
  <c r="L49" i="31"/>
  <c r="L52" i="31"/>
  <c r="H47" i="31"/>
  <c r="J49" i="31"/>
  <c r="J47" i="31"/>
  <c r="K50" i="31"/>
  <c r="G48" i="31"/>
  <c r="F45" i="31"/>
  <c r="F46" i="31"/>
  <c r="G49" i="31"/>
  <c r="G46" i="31"/>
  <c r="G51" i="31"/>
  <c r="F49" i="31"/>
  <c r="F51" i="31"/>
  <c r="F52" i="31"/>
  <c r="F44" i="31"/>
  <c r="F53" i="31"/>
  <c r="G53" i="31"/>
  <c r="G45" i="30"/>
  <c r="G51" i="30"/>
  <c r="G52" i="30"/>
  <c r="G47" i="30"/>
  <c r="G48" i="30"/>
  <c r="G53" i="30"/>
  <c r="G50" i="30"/>
  <c r="G46" i="30"/>
  <c r="G44" i="30"/>
  <c r="G49" i="30"/>
  <c r="E53" i="30"/>
  <c r="E52" i="30"/>
  <c r="E48" i="30"/>
  <c r="E46" i="30"/>
  <c r="E45" i="30"/>
  <c r="E51" i="30"/>
  <c r="E47" i="30"/>
  <c r="E50" i="30"/>
  <c r="E49" i="30"/>
  <c r="E44" i="30"/>
  <c r="F51" i="30"/>
  <c r="F52" i="30"/>
  <c r="F47" i="30"/>
  <c r="F48" i="30"/>
  <c r="F45" i="30"/>
  <c r="F46" i="30"/>
  <c r="F53" i="30"/>
  <c r="F50" i="30"/>
  <c r="F49" i="30"/>
  <c r="F44" i="30"/>
  <c r="H51" i="30"/>
  <c r="H47" i="30"/>
  <c r="H50" i="30"/>
  <c r="H45" i="30"/>
  <c r="H46" i="30"/>
  <c r="H53" i="30"/>
  <c r="H52" i="30"/>
  <c r="H48" i="30"/>
  <c r="H44" i="30"/>
  <c r="H49" i="30"/>
  <c r="D45" i="30"/>
  <c r="D46" i="30"/>
  <c r="D51" i="30"/>
  <c r="D50" i="30"/>
  <c r="D47" i="30"/>
  <c r="D53" i="30"/>
  <c r="D52" i="30"/>
  <c r="D48" i="30"/>
  <c r="D49" i="30"/>
  <c r="D44" i="30"/>
  <c r="I45" i="30"/>
  <c r="I51" i="30"/>
  <c r="I47" i="30"/>
  <c r="I50" i="30"/>
  <c r="I53" i="30"/>
  <c r="I52" i="30"/>
  <c r="I48" i="30"/>
  <c r="I46" i="30"/>
  <c r="I49" i="30"/>
  <c r="I44" i="30"/>
  <c r="L53" i="30"/>
  <c r="L52" i="30"/>
  <c r="L48" i="30"/>
  <c r="L46" i="30"/>
  <c r="L45" i="30"/>
  <c r="L51" i="30"/>
  <c r="L47" i="30"/>
  <c r="L50" i="30"/>
  <c r="L44" i="30"/>
  <c r="L49" i="30"/>
  <c r="K53" i="30"/>
  <c r="K50" i="30"/>
  <c r="K45" i="30"/>
  <c r="K47" i="30"/>
  <c r="K46" i="30"/>
  <c r="K51" i="30"/>
  <c r="K52" i="30"/>
  <c r="K48" i="30"/>
  <c r="K49" i="30"/>
  <c r="K44" i="30"/>
  <c r="J53" i="30"/>
  <c r="J50" i="30"/>
  <c r="J45" i="30"/>
  <c r="J51" i="30"/>
  <c r="J52" i="30"/>
  <c r="J47" i="30"/>
  <c r="J48" i="30"/>
  <c r="J46" i="30"/>
  <c r="J44" i="30"/>
  <c r="J49" i="30"/>
  <c r="M45" i="30"/>
  <c r="M51" i="30"/>
  <c r="M47" i="30"/>
  <c r="M50" i="30"/>
  <c r="M53" i="30"/>
  <c r="M52" i="30"/>
  <c r="M48" i="30"/>
  <c r="M46" i="30"/>
  <c r="M44" i="30"/>
  <c r="M49" i="30"/>
  <c r="L52" i="28"/>
  <c r="K45" i="28"/>
  <c r="F51" i="28"/>
  <c r="H51" i="28"/>
  <c r="E53" i="28"/>
  <c r="I50" i="28"/>
  <c r="I45" i="28"/>
  <c r="E46" i="28"/>
  <c r="H45" i="28"/>
  <c r="E47" i="28"/>
  <c r="L49" i="28"/>
  <c r="I49" i="28"/>
  <c r="H50" i="28"/>
  <c r="J46" i="28"/>
  <c r="I52" i="28"/>
  <c r="M46" i="28"/>
  <c r="K50" i="28"/>
  <c r="E48" i="28"/>
  <c r="I53" i="28"/>
  <c r="H48" i="28"/>
  <c r="F50" i="28"/>
  <c r="I47" i="28"/>
  <c r="K49" i="28"/>
  <c r="D50" i="28"/>
  <c r="M50" i="28"/>
  <c r="E50" i="28"/>
  <c r="I44" i="28"/>
  <c r="I51" i="28"/>
  <c r="H52" i="28"/>
  <c r="M48" i="28"/>
  <c r="M47" i="28"/>
  <c r="J48" i="28"/>
  <c r="K44" i="28"/>
  <c r="K53" i="28"/>
  <c r="D51" i="28"/>
  <c r="F48" i="28"/>
  <c r="M49" i="28"/>
  <c r="M52" i="28"/>
  <c r="M51" i="28"/>
  <c r="J51" i="28"/>
  <c r="K51" i="28"/>
  <c r="E44" i="28"/>
  <c r="E51" i="28"/>
  <c r="E52" i="28"/>
  <c r="I46" i="28"/>
  <c r="D48" i="28"/>
  <c r="H49" i="28"/>
  <c r="H53" i="28"/>
  <c r="H47" i="28"/>
  <c r="M44" i="28"/>
  <c r="M53" i="28"/>
  <c r="J45" i="28"/>
  <c r="K46" i="28"/>
  <c r="E49" i="28"/>
  <c r="E45" i="28"/>
  <c r="I48" i="28"/>
  <c r="D52" i="28"/>
  <c r="H44" i="28"/>
  <c r="H46" i="28"/>
  <c r="G45" i="28"/>
  <c r="L48" i="28"/>
  <c r="F53" i="28"/>
  <c r="F47" i="28"/>
  <c r="L45" i="28"/>
  <c r="G50" i="28"/>
  <c r="J49" i="28"/>
  <c r="J47" i="28"/>
  <c r="J50" i="28"/>
  <c r="K48" i="28"/>
  <c r="K47" i="28"/>
  <c r="D44" i="28"/>
  <c r="D53" i="28"/>
  <c r="D46" i="28"/>
  <c r="F44" i="28"/>
  <c r="F46" i="28"/>
  <c r="F52" i="28"/>
  <c r="L50" i="28"/>
  <c r="L46" i="28"/>
  <c r="G44" i="28"/>
  <c r="G53" i="28"/>
  <c r="G51" i="28"/>
  <c r="L44" i="28"/>
  <c r="L53" i="28"/>
  <c r="G52" i="28"/>
  <c r="J44" i="28"/>
  <c r="J52" i="28"/>
  <c r="K52" i="28"/>
  <c r="D49" i="28"/>
  <c r="D47" i="28"/>
  <c r="F49" i="28"/>
  <c r="F45" i="28"/>
  <c r="L47" i="28"/>
  <c r="G49" i="28"/>
  <c r="G48" i="28"/>
  <c r="G52" i="27"/>
  <c r="G53" i="27"/>
  <c r="G48" i="27"/>
  <c r="G46" i="27"/>
  <c r="G51" i="27"/>
  <c r="G47" i="27"/>
  <c r="G45" i="27"/>
  <c r="G50" i="27"/>
  <c r="G49" i="27"/>
  <c r="G44" i="27"/>
  <c r="H45" i="27"/>
  <c r="H53" i="27"/>
  <c r="H51" i="27"/>
  <c r="H50" i="27"/>
  <c r="H48" i="27"/>
  <c r="H52" i="27"/>
  <c r="H46" i="27"/>
  <c r="H47" i="27"/>
  <c r="H49" i="27"/>
  <c r="H44" i="27"/>
  <c r="K53" i="27"/>
  <c r="K45" i="27"/>
  <c r="K52" i="27"/>
  <c r="K48" i="27"/>
  <c r="K46" i="27"/>
  <c r="K51" i="27"/>
  <c r="K47" i="27"/>
  <c r="K50" i="27"/>
  <c r="K44" i="27"/>
  <c r="K49" i="27"/>
  <c r="L50" i="27"/>
  <c r="L48" i="27"/>
  <c r="L46" i="27"/>
  <c r="L51" i="27"/>
  <c r="L47" i="27"/>
  <c r="L52" i="27"/>
  <c r="L53" i="27"/>
  <c r="L45" i="27"/>
  <c r="L44" i="27"/>
  <c r="L49" i="27"/>
  <c r="F50" i="27"/>
  <c r="F52" i="27"/>
  <c r="F45" i="27"/>
  <c r="F53" i="27"/>
  <c r="F48" i="27"/>
  <c r="F46" i="27"/>
  <c r="F51" i="27"/>
  <c r="F47" i="27"/>
  <c r="F44" i="27"/>
  <c r="F49" i="27"/>
  <c r="I45" i="27"/>
  <c r="I53" i="27"/>
  <c r="I50" i="27"/>
  <c r="I52" i="27"/>
  <c r="I48" i="27"/>
  <c r="I46" i="27"/>
  <c r="I51" i="27"/>
  <c r="I47" i="27"/>
  <c r="I44" i="27"/>
  <c r="I49" i="27"/>
  <c r="E46" i="27"/>
  <c r="E51" i="27"/>
  <c r="E47" i="27"/>
  <c r="E53" i="27"/>
  <c r="E45" i="27"/>
  <c r="E50" i="27"/>
  <c r="E52" i="27"/>
  <c r="E48" i="27"/>
  <c r="E49" i="27"/>
  <c r="E44" i="27"/>
  <c r="J46" i="27"/>
  <c r="J47" i="27"/>
  <c r="J45" i="27"/>
  <c r="J50" i="27"/>
  <c r="J52" i="27"/>
  <c r="J53" i="27"/>
  <c r="J51" i="27"/>
  <c r="J48" i="27"/>
  <c r="J44" i="27"/>
  <c r="J49" i="27"/>
  <c r="D46" i="27"/>
  <c r="D51" i="27"/>
  <c r="D47" i="27"/>
  <c r="D50" i="27"/>
  <c r="D48" i="27"/>
  <c r="D52" i="27"/>
  <c r="D53" i="27"/>
  <c r="D45" i="27"/>
  <c r="D49" i="27"/>
  <c r="D44" i="27"/>
  <c r="M50" i="27"/>
  <c r="M52" i="27"/>
  <c r="M46" i="27"/>
  <c r="M47" i="27"/>
  <c r="M45" i="27"/>
  <c r="M53" i="27"/>
  <c r="M48" i="27"/>
  <c r="M51" i="27"/>
  <c r="M44" i="27"/>
  <c r="M49" i="27"/>
  <c r="G52" i="24"/>
  <c r="G50" i="24"/>
  <c r="G51" i="24"/>
  <c r="G47" i="24"/>
  <c r="G53" i="24"/>
  <c r="G45" i="24"/>
  <c r="G46" i="24"/>
  <c r="G48" i="24"/>
  <c r="G49" i="24"/>
  <c r="G44" i="24"/>
  <c r="K51" i="24"/>
  <c r="K47" i="24"/>
  <c r="K53" i="24"/>
  <c r="K45" i="24"/>
  <c r="K46" i="24"/>
  <c r="K48" i="24"/>
  <c r="K52" i="24"/>
  <c r="K50" i="24"/>
  <c r="K49" i="24"/>
  <c r="K44" i="24"/>
  <c r="E47" i="24"/>
  <c r="E46" i="24"/>
  <c r="E53" i="24"/>
  <c r="E45" i="24"/>
  <c r="E48" i="24"/>
  <c r="E52" i="24"/>
  <c r="E50" i="24"/>
  <c r="E51" i="24"/>
  <c r="E44" i="24"/>
  <c r="E49" i="24"/>
  <c r="L52" i="24"/>
  <c r="L50" i="24"/>
  <c r="L51" i="24"/>
  <c r="L48" i="24"/>
  <c r="L47" i="24"/>
  <c r="L45" i="24"/>
  <c r="L46" i="24"/>
  <c r="L53" i="24"/>
  <c r="L44" i="24"/>
  <c r="L49" i="24"/>
  <c r="D46" i="24"/>
  <c r="D53" i="24"/>
  <c r="D47" i="24"/>
  <c r="D48" i="24"/>
  <c r="D52" i="24"/>
  <c r="D50" i="24"/>
  <c r="D51" i="24"/>
  <c r="D45" i="24"/>
  <c r="D44" i="24"/>
  <c r="D49" i="24"/>
  <c r="I48" i="24"/>
  <c r="I52" i="24"/>
  <c r="I50" i="24"/>
  <c r="I51" i="24"/>
  <c r="I45" i="24"/>
  <c r="I47" i="24"/>
  <c r="I46" i="24"/>
  <c r="I53" i="24"/>
  <c r="I44" i="24"/>
  <c r="I49" i="24"/>
  <c r="F47" i="24"/>
  <c r="F45" i="24"/>
  <c r="F48" i="24"/>
  <c r="F50" i="24"/>
  <c r="F46" i="24"/>
  <c r="F51" i="24"/>
  <c r="F52" i="24"/>
  <c r="F53" i="24"/>
  <c r="F44" i="24"/>
  <c r="F49" i="24"/>
  <c r="H48" i="24"/>
  <c r="H46" i="24"/>
  <c r="H52" i="24"/>
  <c r="H50" i="24"/>
  <c r="H51" i="24"/>
  <c r="H53" i="24"/>
  <c r="H47" i="24"/>
  <c r="H45" i="24"/>
  <c r="H44" i="24"/>
  <c r="H49" i="24"/>
  <c r="J45" i="24"/>
  <c r="J52" i="24"/>
  <c r="J46" i="24"/>
  <c r="J53" i="24"/>
  <c r="J51" i="24"/>
  <c r="J48" i="24"/>
  <c r="J47" i="24"/>
  <c r="J50" i="24"/>
  <c r="J49" i="24"/>
  <c r="J44" i="24"/>
  <c r="M52" i="24"/>
  <c r="M50" i="24"/>
  <c r="M51" i="24"/>
  <c r="M45" i="24"/>
  <c r="M48" i="24"/>
  <c r="M47" i="24"/>
  <c r="M46" i="24"/>
  <c r="M53" i="24"/>
  <c r="M44" i="24"/>
  <c r="M49" i="24"/>
  <c r="E53" i="22"/>
  <c r="L45" i="22"/>
  <c r="E50" i="22"/>
  <c r="E48" i="22"/>
  <c r="L50" i="22"/>
  <c r="E49" i="22"/>
  <c r="E45" i="22"/>
  <c r="L51" i="22"/>
  <c r="L48" i="22"/>
  <c r="M44" i="22"/>
  <c r="G53" i="22"/>
  <c r="H50" i="22"/>
  <c r="K46" i="22"/>
  <c r="M46" i="22"/>
  <c r="G52" i="22"/>
  <c r="D49" i="22"/>
  <c r="M45" i="22"/>
  <c r="K53" i="22"/>
  <c r="F44" i="22"/>
  <c r="M53" i="22"/>
  <c r="J45" i="22"/>
  <c r="I48" i="22"/>
  <c r="D45" i="22"/>
  <c r="F45" i="22"/>
  <c r="G44" i="22"/>
  <c r="G51" i="22"/>
  <c r="J48" i="22"/>
  <c r="D47" i="22"/>
  <c r="H45" i="22"/>
  <c r="M50" i="22"/>
  <c r="K49" i="22"/>
  <c r="I47" i="22"/>
  <c r="H52" i="22"/>
  <c r="F51" i="22"/>
  <c r="G50" i="22"/>
  <c r="J49" i="22"/>
  <c r="J50" i="22"/>
  <c r="K47" i="22"/>
  <c r="I52" i="22"/>
  <c r="D48" i="22"/>
  <c r="D50" i="22"/>
  <c r="H53" i="22"/>
  <c r="F50" i="22"/>
  <c r="M48" i="22"/>
  <c r="M47" i="22"/>
  <c r="J44" i="22"/>
  <c r="J52" i="22"/>
  <c r="J53" i="22"/>
  <c r="K52" i="22"/>
  <c r="K45" i="22"/>
  <c r="I49" i="22"/>
  <c r="I53" i="22"/>
  <c r="I45" i="22"/>
  <c r="D52" i="22"/>
  <c r="D51" i="22"/>
  <c r="H44" i="22"/>
  <c r="H46" i="22"/>
  <c r="H51" i="22"/>
  <c r="F53" i="22"/>
  <c r="F47" i="22"/>
  <c r="L47" i="22"/>
  <c r="G49" i="22"/>
  <c r="G48" i="22"/>
  <c r="G45" i="22"/>
  <c r="J47" i="22"/>
  <c r="K48" i="22"/>
  <c r="I44" i="22"/>
  <c r="I51" i="22"/>
  <c r="H49" i="22"/>
  <c r="F48" i="22"/>
  <c r="M49" i="22"/>
  <c r="M52" i="22"/>
  <c r="J46" i="22"/>
  <c r="K44" i="22"/>
  <c r="K51" i="22"/>
  <c r="I46" i="22"/>
  <c r="D44" i="22"/>
  <c r="D53" i="22"/>
  <c r="H48" i="22"/>
  <c r="F49" i="22"/>
  <c r="F46" i="22"/>
  <c r="G46" i="22"/>
  <c r="L44" i="21"/>
  <c r="M52" i="21"/>
  <c r="M53" i="21"/>
  <c r="D50" i="21"/>
  <c r="G53" i="21"/>
  <c r="L47" i="21"/>
  <c r="J52" i="21"/>
  <c r="G52" i="21"/>
  <c r="F44" i="21"/>
  <c r="H53" i="21"/>
  <c r="K53" i="21"/>
  <c r="I50" i="21"/>
  <c r="D45" i="21"/>
  <c r="F52" i="21"/>
  <c r="M50" i="21"/>
  <c r="K49" i="21"/>
  <c r="I46" i="21"/>
  <c r="F46" i="21"/>
  <c r="G44" i="21"/>
  <c r="G51" i="21"/>
  <c r="J46" i="21"/>
  <c r="H52" i="21"/>
  <c r="M44" i="21"/>
  <c r="M45" i="21"/>
  <c r="K45" i="21"/>
  <c r="D49" i="21"/>
  <c r="H50" i="21"/>
  <c r="G50" i="21"/>
  <c r="J45" i="21"/>
  <c r="K52" i="21"/>
  <c r="K48" i="21"/>
  <c r="I47" i="21"/>
  <c r="H49" i="21"/>
  <c r="H47" i="21"/>
  <c r="F51" i="21"/>
  <c r="M46" i="21"/>
  <c r="M47" i="21"/>
  <c r="J44" i="21"/>
  <c r="J50" i="21"/>
  <c r="J51" i="21"/>
  <c r="K46" i="21"/>
  <c r="K51" i="21"/>
  <c r="I49" i="21"/>
  <c r="I51" i="21"/>
  <c r="I53" i="21"/>
  <c r="D53" i="21"/>
  <c r="D52" i="21"/>
  <c r="H44" i="21"/>
  <c r="H45" i="21"/>
  <c r="H51" i="21"/>
  <c r="F48" i="21"/>
  <c r="F50" i="21"/>
  <c r="G49" i="21"/>
  <c r="G48" i="21"/>
  <c r="G45" i="21"/>
  <c r="J49" i="21"/>
  <c r="J48" i="21"/>
  <c r="I44" i="21"/>
  <c r="I48" i="21"/>
  <c r="D48" i="21"/>
  <c r="D51" i="21"/>
  <c r="F45" i="21"/>
  <c r="M49" i="21"/>
  <c r="M48" i="21"/>
  <c r="J47" i="21"/>
  <c r="K44" i="21"/>
  <c r="K47" i="21"/>
  <c r="I52" i="21"/>
  <c r="D44" i="21"/>
  <c r="D47" i="21"/>
  <c r="H48" i="21"/>
  <c r="F49" i="21"/>
  <c r="F47" i="21"/>
  <c r="G46" i="21"/>
  <c r="G45" i="19"/>
  <c r="G51" i="19"/>
  <c r="G52" i="19"/>
  <c r="G47" i="19"/>
  <c r="G48" i="19"/>
  <c r="G53" i="19"/>
  <c r="G50" i="19"/>
  <c r="G46" i="19"/>
  <c r="G44" i="19"/>
  <c r="G49" i="19"/>
  <c r="L53" i="19"/>
  <c r="L52" i="19"/>
  <c r="L48" i="19"/>
  <c r="L46" i="19"/>
  <c r="L45" i="19"/>
  <c r="L51" i="19"/>
  <c r="L47" i="19"/>
  <c r="L50" i="19"/>
  <c r="L44" i="19"/>
  <c r="L49" i="19"/>
  <c r="E53" i="19"/>
  <c r="E52" i="19"/>
  <c r="E48" i="19"/>
  <c r="E46" i="19"/>
  <c r="E45" i="19"/>
  <c r="E51" i="19"/>
  <c r="E47" i="19"/>
  <c r="E50" i="19"/>
  <c r="E49" i="19"/>
  <c r="E44" i="19"/>
  <c r="F51" i="19"/>
  <c r="F52" i="19"/>
  <c r="F47" i="19"/>
  <c r="F48" i="19"/>
  <c r="F45" i="19"/>
  <c r="F46" i="19"/>
  <c r="F53" i="19"/>
  <c r="F50" i="19"/>
  <c r="F44" i="19"/>
  <c r="F49" i="19"/>
  <c r="H51" i="19"/>
  <c r="H47" i="19"/>
  <c r="H50" i="19"/>
  <c r="H45" i="19"/>
  <c r="H46" i="19"/>
  <c r="H53" i="19"/>
  <c r="H52" i="19"/>
  <c r="H48" i="19"/>
  <c r="H49" i="19"/>
  <c r="H44" i="19"/>
  <c r="D45" i="19"/>
  <c r="D46" i="19"/>
  <c r="D51" i="19"/>
  <c r="D50" i="19"/>
  <c r="D47" i="19"/>
  <c r="D53" i="19"/>
  <c r="D52" i="19"/>
  <c r="D48" i="19"/>
  <c r="D44" i="19"/>
  <c r="D49" i="19"/>
  <c r="I45" i="19"/>
  <c r="I51" i="19"/>
  <c r="I47" i="19"/>
  <c r="I50" i="19"/>
  <c r="I53" i="19"/>
  <c r="I52" i="19"/>
  <c r="I48" i="19"/>
  <c r="I46" i="19"/>
  <c r="I44" i="19"/>
  <c r="I49" i="19"/>
  <c r="K53" i="19"/>
  <c r="K50" i="19"/>
  <c r="K45" i="19"/>
  <c r="K47" i="19"/>
  <c r="K46" i="19"/>
  <c r="K51" i="19"/>
  <c r="K52" i="19"/>
  <c r="K48" i="19"/>
  <c r="K49" i="19"/>
  <c r="K44" i="19"/>
  <c r="J53" i="19"/>
  <c r="J50" i="19"/>
  <c r="J45" i="19"/>
  <c r="J51" i="19"/>
  <c r="J52" i="19"/>
  <c r="J47" i="19"/>
  <c r="J48" i="19"/>
  <c r="J46" i="19"/>
  <c r="J44" i="19"/>
  <c r="J49" i="19"/>
  <c r="M45" i="19"/>
  <c r="M51" i="19"/>
  <c r="M47" i="19"/>
  <c r="M50" i="19"/>
  <c r="M53" i="19"/>
  <c r="M52" i="19"/>
  <c r="M48" i="19"/>
  <c r="M46" i="19"/>
  <c r="M44" i="19"/>
  <c r="M49" i="19"/>
  <c r="G50" i="17"/>
  <c r="M47" i="17"/>
  <c r="M46" i="17"/>
  <c r="M52" i="17"/>
  <c r="G44" i="17"/>
  <c r="I48" i="17"/>
  <c r="F45" i="17"/>
  <c r="E50" i="17"/>
  <c r="D53" i="17"/>
  <c r="H53" i="17"/>
  <c r="I52" i="17"/>
  <c r="K45" i="17"/>
  <c r="L46" i="17"/>
  <c r="H49" i="17"/>
  <c r="K47" i="17"/>
  <c r="E48" i="17"/>
  <c r="F52" i="17"/>
  <c r="L45" i="17"/>
  <c r="H50" i="17"/>
  <c r="E51" i="17"/>
  <c r="J47" i="17"/>
  <c r="I53" i="17"/>
  <c r="D44" i="17"/>
  <c r="D52" i="17"/>
  <c r="J53" i="17"/>
  <c r="L51" i="17"/>
  <c r="F44" i="17"/>
  <c r="H51" i="17"/>
  <c r="K49" i="17"/>
  <c r="K52" i="17"/>
  <c r="D50" i="17"/>
  <c r="M44" i="17"/>
  <c r="M51" i="17"/>
  <c r="L49" i="17"/>
  <c r="L48" i="17"/>
  <c r="F48" i="17"/>
  <c r="H52" i="17"/>
  <c r="K53" i="17"/>
  <c r="D47" i="17"/>
  <c r="G46" i="17"/>
  <c r="J44" i="17"/>
  <c r="J51" i="17"/>
  <c r="I45" i="17"/>
  <c r="E44" i="17"/>
  <c r="E45" i="17"/>
  <c r="D45" i="17"/>
  <c r="J49" i="17"/>
  <c r="J46" i="17"/>
  <c r="J50" i="17"/>
  <c r="L47" i="17"/>
  <c r="L52" i="17"/>
  <c r="I49" i="17"/>
  <c r="I47" i="17"/>
  <c r="I50" i="17"/>
  <c r="F50" i="17"/>
  <c r="F46" i="17"/>
  <c r="H44" i="17"/>
  <c r="H48" i="17"/>
  <c r="H46" i="17"/>
  <c r="K50" i="17"/>
  <c r="K46" i="17"/>
  <c r="E49" i="17"/>
  <c r="E46" i="17"/>
  <c r="E47" i="17"/>
  <c r="D48" i="17"/>
  <c r="D46" i="17"/>
  <c r="G49" i="17"/>
  <c r="G52" i="17"/>
  <c r="J52" i="17"/>
  <c r="I44" i="17"/>
  <c r="I46" i="17"/>
  <c r="F51" i="17"/>
  <c r="F47" i="17"/>
  <c r="E53" i="17"/>
  <c r="J48" i="17"/>
  <c r="L44" i="17"/>
  <c r="L50" i="17"/>
  <c r="I51" i="17"/>
  <c r="F49" i="17"/>
  <c r="F53" i="17"/>
  <c r="H45" i="17"/>
  <c r="K44" i="17"/>
  <c r="K48" i="17"/>
  <c r="E52" i="17"/>
  <c r="D49" i="17"/>
  <c r="D51" i="17"/>
  <c r="G45" i="16"/>
  <c r="G51" i="16"/>
  <c r="G52" i="16"/>
  <c r="G47" i="16"/>
  <c r="G48" i="16"/>
  <c r="G53" i="16"/>
  <c r="G50" i="16"/>
  <c r="G46" i="16"/>
  <c r="G44" i="16"/>
  <c r="G49" i="16"/>
  <c r="L53" i="16"/>
  <c r="L52" i="16"/>
  <c r="L48" i="16"/>
  <c r="L46" i="16"/>
  <c r="L45" i="16"/>
  <c r="L51" i="16"/>
  <c r="L47" i="16"/>
  <c r="L50" i="16"/>
  <c r="L44" i="16"/>
  <c r="L49" i="16"/>
  <c r="E53" i="16"/>
  <c r="E52" i="16"/>
  <c r="E48" i="16"/>
  <c r="E46" i="16"/>
  <c r="E45" i="16"/>
  <c r="E51" i="16"/>
  <c r="E47" i="16"/>
  <c r="E50" i="16"/>
  <c r="E49" i="16"/>
  <c r="E44" i="16"/>
  <c r="F51" i="16"/>
  <c r="F52" i="16"/>
  <c r="F47" i="16"/>
  <c r="F48" i="16"/>
  <c r="F45" i="16"/>
  <c r="F46" i="16"/>
  <c r="F53" i="16"/>
  <c r="F50" i="16"/>
  <c r="F44" i="16"/>
  <c r="F49" i="16"/>
  <c r="H51" i="16"/>
  <c r="H47" i="16"/>
  <c r="H50" i="16"/>
  <c r="H45" i="16"/>
  <c r="H46" i="16"/>
  <c r="H53" i="16"/>
  <c r="H52" i="16"/>
  <c r="H48" i="16"/>
  <c r="H49" i="16"/>
  <c r="H44" i="16"/>
  <c r="D45" i="16"/>
  <c r="D46" i="16"/>
  <c r="D51" i="16"/>
  <c r="D50" i="16"/>
  <c r="D47" i="16"/>
  <c r="D53" i="16"/>
  <c r="D52" i="16"/>
  <c r="D48" i="16"/>
  <c r="D44" i="16"/>
  <c r="D49" i="16"/>
  <c r="I45" i="16"/>
  <c r="I51" i="16"/>
  <c r="I47" i="16"/>
  <c r="I50" i="16"/>
  <c r="I53" i="16"/>
  <c r="I52" i="16"/>
  <c r="I48" i="16"/>
  <c r="I46" i="16"/>
  <c r="I44" i="16"/>
  <c r="I49" i="16"/>
  <c r="K53" i="16"/>
  <c r="K50" i="16"/>
  <c r="K45" i="16"/>
  <c r="K47" i="16"/>
  <c r="K46" i="16"/>
  <c r="K51" i="16"/>
  <c r="K52" i="16"/>
  <c r="K48" i="16"/>
  <c r="K49" i="16"/>
  <c r="K44" i="16"/>
  <c r="J53" i="16"/>
  <c r="J50" i="16"/>
  <c r="J45" i="16"/>
  <c r="J51" i="16"/>
  <c r="J52" i="16"/>
  <c r="J47" i="16"/>
  <c r="J48" i="16"/>
  <c r="J46" i="16"/>
  <c r="J44" i="16"/>
  <c r="J49" i="16"/>
  <c r="M45" i="16"/>
  <c r="M51" i="16"/>
  <c r="M47" i="16"/>
  <c r="M50" i="16"/>
  <c r="M53" i="16"/>
  <c r="M52" i="16"/>
  <c r="M48" i="16"/>
  <c r="M46" i="16"/>
  <c r="M44" i="16"/>
  <c r="M49" i="16"/>
  <c r="J52" i="15"/>
  <c r="J45" i="15"/>
  <c r="J46" i="15"/>
  <c r="J47" i="15"/>
  <c r="J51" i="15"/>
  <c r="J50" i="15"/>
  <c r="J48" i="15"/>
  <c r="J53" i="15"/>
  <c r="J44" i="15"/>
  <c r="J49" i="15"/>
  <c r="H50" i="15"/>
  <c r="H46" i="15"/>
  <c r="H51" i="15"/>
  <c r="H45" i="15"/>
  <c r="H47" i="15"/>
  <c r="H52" i="15"/>
  <c r="H53" i="15"/>
  <c r="H48" i="15"/>
  <c r="H49" i="15"/>
  <c r="H44" i="15"/>
  <c r="L46" i="15"/>
  <c r="L51" i="15"/>
  <c r="L45" i="15"/>
  <c r="L50" i="15"/>
  <c r="L52" i="15"/>
  <c r="L53" i="15"/>
  <c r="L48" i="15"/>
  <c r="L47" i="15"/>
  <c r="L49" i="15"/>
  <c r="L44" i="15"/>
  <c r="E52" i="15"/>
  <c r="E53" i="15"/>
  <c r="E48" i="15"/>
  <c r="E51" i="15"/>
  <c r="E47" i="15"/>
  <c r="E46" i="15"/>
  <c r="E50" i="15"/>
  <c r="E45" i="15"/>
  <c r="E44" i="15"/>
  <c r="E49" i="15"/>
  <c r="G46" i="15"/>
  <c r="G50" i="15"/>
  <c r="G51" i="15"/>
  <c r="G45" i="15"/>
  <c r="G48" i="15"/>
  <c r="G52" i="15"/>
  <c r="G53" i="15"/>
  <c r="G47" i="15"/>
  <c r="G49" i="15"/>
  <c r="G44" i="15"/>
  <c r="I47" i="15"/>
  <c r="I45" i="15"/>
  <c r="I46" i="15"/>
  <c r="I50" i="15"/>
  <c r="I51" i="15"/>
  <c r="I52" i="15"/>
  <c r="I53" i="15"/>
  <c r="I48" i="15"/>
  <c r="I49" i="15"/>
  <c r="I44" i="15"/>
  <c r="F53" i="15"/>
  <c r="F47" i="15"/>
  <c r="F45" i="15"/>
  <c r="F50" i="15"/>
  <c r="F51" i="15"/>
  <c r="F46" i="15"/>
  <c r="F52" i="15"/>
  <c r="F48" i="15"/>
  <c r="F44" i="15"/>
  <c r="F49" i="15"/>
  <c r="K45" i="15"/>
  <c r="K48" i="15"/>
  <c r="K52" i="15"/>
  <c r="K53" i="15"/>
  <c r="K47" i="15"/>
  <c r="K46" i="15"/>
  <c r="K50" i="15"/>
  <c r="K51" i="15"/>
  <c r="K44" i="15"/>
  <c r="K49" i="15"/>
  <c r="D47" i="15"/>
  <c r="D53" i="15"/>
  <c r="D48" i="15"/>
  <c r="D50" i="15"/>
  <c r="D46" i="15"/>
  <c r="D51" i="15"/>
  <c r="D45" i="15"/>
  <c r="D52" i="15"/>
  <c r="D44" i="15"/>
  <c r="D49" i="15"/>
  <c r="M46" i="15"/>
  <c r="M50" i="15"/>
  <c r="M45" i="15"/>
  <c r="M51" i="15"/>
  <c r="M52" i="15"/>
  <c r="M53" i="15"/>
  <c r="M48" i="15"/>
  <c r="M47" i="15"/>
  <c r="M49" i="15"/>
  <c r="M44" i="15"/>
  <c r="G45" i="14"/>
  <c r="G51" i="14"/>
  <c r="G52" i="14"/>
  <c r="G47" i="14"/>
  <c r="G48" i="14"/>
  <c r="G53" i="14"/>
  <c r="G50" i="14"/>
  <c r="G46" i="14"/>
  <c r="G44" i="14"/>
  <c r="G49" i="14"/>
  <c r="L53" i="14"/>
  <c r="L52" i="14"/>
  <c r="L48" i="14"/>
  <c r="L46" i="14"/>
  <c r="L45" i="14"/>
  <c r="L51" i="14"/>
  <c r="L47" i="14"/>
  <c r="L50" i="14"/>
  <c r="L44" i="14"/>
  <c r="L49" i="14"/>
  <c r="E53" i="14"/>
  <c r="E52" i="14"/>
  <c r="E48" i="14"/>
  <c r="E46" i="14"/>
  <c r="E45" i="14"/>
  <c r="E51" i="14"/>
  <c r="E47" i="14"/>
  <c r="E50" i="14"/>
  <c r="E49" i="14"/>
  <c r="E44" i="14"/>
  <c r="F51" i="14"/>
  <c r="F52" i="14"/>
  <c r="F47" i="14"/>
  <c r="F48" i="14"/>
  <c r="F45" i="14"/>
  <c r="F46" i="14"/>
  <c r="F53" i="14"/>
  <c r="F50" i="14"/>
  <c r="F44" i="14"/>
  <c r="F49" i="14"/>
  <c r="H51" i="14"/>
  <c r="H47" i="14"/>
  <c r="H50" i="14"/>
  <c r="H45" i="14"/>
  <c r="H46" i="14"/>
  <c r="H53" i="14"/>
  <c r="H52" i="14"/>
  <c r="H48" i="14"/>
  <c r="H49" i="14"/>
  <c r="H44" i="14"/>
  <c r="D45" i="14"/>
  <c r="D46" i="14"/>
  <c r="D51" i="14"/>
  <c r="D50" i="14"/>
  <c r="D47" i="14"/>
  <c r="D53" i="14"/>
  <c r="D52" i="14"/>
  <c r="D48" i="14"/>
  <c r="D44" i="14"/>
  <c r="D49" i="14"/>
  <c r="I45" i="14"/>
  <c r="I51" i="14"/>
  <c r="I47" i="14"/>
  <c r="I50" i="14"/>
  <c r="I53" i="14"/>
  <c r="I52" i="14"/>
  <c r="I48" i="14"/>
  <c r="I46" i="14"/>
  <c r="I44" i="14"/>
  <c r="I49" i="14"/>
  <c r="K53" i="14"/>
  <c r="K50" i="14"/>
  <c r="K45" i="14"/>
  <c r="K47" i="14"/>
  <c r="K46" i="14"/>
  <c r="K51" i="14"/>
  <c r="K52" i="14"/>
  <c r="K48" i="14"/>
  <c r="K49" i="14"/>
  <c r="K44" i="14"/>
  <c r="J53" i="14"/>
  <c r="J50" i="14"/>
  <c r="J45" i="14"/>
  <c r="J51" i="14"/>
  <c r="J52" i="14"/>
  <c r="J47" i="14"/>
  <c r="J48" i="14"/>
  <c r="J46" i="14"/>
  <c r="J44" i="14"/>
  <c r="J49" i="14"/>
  <c r="M45" i="14"/>
  <c r="M51" i="14"/>
  <c r="M47" i="14"/>
  <c r="M50" i="14"/>
  <c r="M53" i="14"/>
  <c r="M52" i="14"/>
  <c r="M48" i="14"/>
  <c r="M46" i="14"/>
  <c r="M44" i="14"/>
  <c r="M49" i="14"/>
  <c r="G45" i="11"/>
  <c r="G51" i="11"/>
  <c r="G52" i="11"/>
  <c r="G47" i="11"/>
  <c r="G48" i="11"/>
  <c r="G53" i="11"/>
  <c r="G50" i="11"/>
  <c r="G46" i="11"/>
  <c r="G44" i="11"/>
  <c r="G49" i="11"/>
  <c r="L53" i="11"/>
  <c r="L52" i="11"/>
  <c r="L48" i="11"/>
  <c r="L46" i="11"/>
  <c r="L45" i="11"/>
  <c r="L51" i="11"/>
  <c r="L47" i="11"/>
  <c r="L50" i="11"/>
  <c r="L44" i="11"/>
  <c r="L49" i="11"/>
  <c r="E53" i="11"/>
  <c r="E52" i="11"/>
  <c r="E48" i="11"/>
  <c r="E46" i="11"/>
  <c r="E45" i="11"/>
  <c r="E51" i="11"/>
  <c r="E47" i="11"/>
  <c r="E50" i="11"/>
  <c r="E49" i="11"/>
  <c r="E44" i="11"/>
  <c r="F51" i="11"/>
  <c r="F52" i="11"/>
  <c r="F47" i="11"/>
  <c r="F48" i="11"/>
  <c r="F45" i="11"/>
  <c r="F46" i="11"/>
  <c r="F53" i="11"/>
  <c r="F50" i="11"/>
  <c r="F44" i="11"/>
  <c r="F49" i="11"/>
  <c r="H51" i="11"/>
  <c r="H47" i="11"/>
  <c r="H50" i="11"/>
  <c r="H45" i="11"/>
  <c r="H46" i="11"/>
  <c r="H53" i="11"/>
  <c r="H52" i="11"/>
  <c r="H48" i="11"/>
  <c r="H49" i="11"/>
  <c r="H44" i="11"/>
  <c r="D45" i="11"/>
  <c r="D46" i="11"/>
  <c r="D51" i="11"/>
  <c r="D50" i="11"/>
  <c r="D47" i="11"/>
  <c r="D53" i="11"/>
  <c r="D52" i="11"/>
  <c r="D48" i="11"/>
  <c r="D44" i="11"/>
  <c r="D49" i="11"/>
  <c r="I45" i="11"/>
  <c r="I51" i="11"/>
  <c r="I47" i="11"/>
  <c r="I50" i="11"/>
  <c r="I53" i="11"/>
  <c r="I52" i="11"/>
  <c r="I48" i="11"/>
  <c r="I46" i="11"/>
  <c r="I44" i="11"/>
  <c r="I49" i="11"/>
  <c r="K53" i="11"/>
  <c r="K50" i="11"/>
  <c r="K45" i="11"/>
  <c r="K47" i="11"/>
  <c r="K46" i="11"/>
  <c r="K51" i="11"/>
  <c r="K52" i="11"/>
  <c r="K48" i="11"/>
  <c r="K49" i="11"/>
  <c r="K44" i="11"/>
  <c r="J53" i="11"/>
  <c r="J50" i="11"/>
  <c r="J45" i="11"/>
  <c r="J51" i="11"/>
  <c r="J52" i="11"/>
  <c r="J47" i="11"/>
  <c r="J48" i="11"/>
  <c r="J46" i="11"/>
  <c r="J44" i="11"/>
  <c r="J49" i="11"/>
  <c r="M45" i="11"/>
  <c r="M51" i="11"/>
  <c r="M47" i="11"/>
  <c r="M50" i="11"/>
  <c r="M53" i="11"/>
  <c r="M52" i="11"/>
  <c r="M48" i="11"/>
  <c r="M46" i="11"/>
  <c r="M44" i="11"/>
  <c r="M49" i="11"/>
  <c r="G45" i="10"/>
  <c r="G51" i="10"/>
  <c r="G52" i="10"/>
  <c r="G47" i="10"/>
  <c r="G48" i="10"/>
  <c r="G53" i="10"/>
  <c r="G50" i="10"/>
  <c r="G46" i="10"/>
  <c r="G44" i="10"/>
  <c r="G49" i="10"/>
  <c r="L53" i="10"/>
  <c r="L52" i="10"/>
  <c r="L48" i="10"/>
  <c r="L46" i="10"/>
  <c r="L45" i="10"/>
  <c r="L51" i="10"/>
  <c r="L47" i="10"/>
  <c r="L50" i="10"/>
  <c r="L44" i="10"/>
  <c r="L49" i="10"/>
  <c r="E53" i="10"/>
  <c r="E52" i="10"/>
  <c r="E48" i="10"/>
  <c r="E46" i="10"/>
  <c r="E45" i="10"/>
  <c r="E51" i="10"/>
  <c r="E47" i="10"/>
  <c r="E50" i="10"/>
  <c r="E49" i="10"/>
  <c r="E44" i="10"/>
  <c r="F51" i="10"/>
  <c r="F52" i="10"/>
  <c r="F47" i="10"/>
  <c r="F48" i="10"/>
  <c r="F45" i="10"/>
  <c r="F46" i="10"/>
  <c r="F53" i="10"/>
  <c r="F50" i="10"/>
  <c r="F44" i="10"/>
  <c r="F49" i="10"/>
  <c r="H51" i="10"/>
  <c r="H47" i="10"/>
  <c r="H50" i="10"/>
  <c r="H45" i="10"/>
  <c r="H46" i="10"/>
  <c r="H53" i="10"/>
  <c r="H52" i="10"/>
  <c r="H48" i="10"/>
  <c r="H49" i="10"/>
  <c r="H44" i="10"/>
  <c r="D45" i="10"/>
  <c r="D46" i="10"/>
  <c r="D51" i="10"/>
  <c r="D50" i="10"/>
  <c r="D47" i="10"/>
  <c r="D53" i="10"/>
  <c r="D52" i="10"/>
  <c r="D48" i="10"/>
  <c r="D44" i="10"/>
  <c r="D49" i="10"/>
  <c r="I45" i="10"/>
  <c r="I51" i="10"/>
  <c r="I47" i="10"/>
  <c r="I50" i="10"/>
  <c r="I53" i="10"/>
  <c r="I52" i="10"/>
  <c r="I48" i="10"/>
  <c r="I46" i="10"/>
  <c r="I44" i="10"/>
  <c r="I49" i="10"/>
  <c r="K53" i="10"/>
  <c r="K50" i="10"/>
  <c r="K45" i="10"/>
  <c r="K47" i="10"/>
  <c r="K46" i="10"/>
  <c r="K51" i="10"/>
  <c r="K52" i="10"/>
  <c r="K48" i="10"/>
  <c r="K49" i="10"/>
  <c r="K44" i="10"/>
  <c r="J53" i="10"/>
  <c r="J50" i="10"/>
  <c r="J45" i="10"/>
  <c r="J51" i="10"/>
  <c r="J52" i="10"/>
  <c r="J47" i="10"/>
  <c r="J48" i="10"/>
  <c r="J46" i="10"/>
  <c r="J44" i="10"/>
  <c r="J49" i="10"/>
  <c r="M45" i="10"/>
  <c r="M51" i="10"/>
  <c r="M47" i="10"/>
  <c r="M50" i="10"/>
  <c r="M53" i="10"/>
  <c r="M52" i="10"/>
  <c r="M48" i="10"/>
  <c r="M46" i="10"/>
  <c r="M44" i="10"/>
  <c r="M49" i="10"/>
  <c r="G45" i="9"/>
  <c r="G51" i="9"/>
  <c r="G52" i="9"/>
  <c r="G47" i="9"/>
  <c r="G48" i="9"/>
  <c r="G53" i="9"/>
  <c r="G50" i="9"/>
  <c r="G46" i="9"/>
  <c r="G44" i="9"/>
  <c r="G49" i="9"/>
  <c r="L53" i="9"/>
  <c r="L52" i="9"/>
  <c r="L48" i="9"/>
  <c r="L46" i="9"/>
  <c r="L45" i="9"/>
  <c r="L51" i="9"/>
  <c r="L47" i="9"/>
  <c r="L50" i="9"/>
  <c r="L44" i="9"/>
  <c r="L49" i="9"/>
  <c r="E53" i="9"/>
  <c r="E52" i="9"/>
  <c r="E48" i="9"/>
  <c r="E46" i="9"/>
  <c r="E45" i="9"/>
  <c r="E51" i="9"/>
  <c r="E47" i="9"/>
  <c r="E50" i="9"/>
  <c r="E49" i="9"/>
  <c r="E44" i="9"/>
  <c r="F51" i="9"/>
  <c r="F52" i="9"/>
  <c r="F47" i="9"/>
  <c r="F48" i="9"/>
  <c r="F45" i="9"/>
  <c r="F46" i="9"/>
  <c r="F53" i="9"/>
  <c r="F50" i="9"/>
  <c r="F44" i="9"/>
  <c r="F49" i="9"/>
  <c r="H51" i="9"/>
  <c r="H47" i="9"/>
  <c r="H50" i="9"/>
  <c r="H45" i="9"/>
  <c r="H46" i="9"/>
  <c r="H53" i="9"/>
  <c r="H52" i="9"/>
  <c r="H48" i="9"/>
  <c r="H49" i="9"/>
  <c r="H44" i="9"/>
  <c r="D45" i="9"/>
  <c r="D46" i="9"/>
  <c r="D51" i="9"/>
  <c r="D50" i="9"/>
  <c r="D47" i="9"/>
  <c r="D53" i="9"/>
  <c r="D52" i="9"/>
  <c r="D48" i="9"/>
  <c r="D44" i="9"/>
  <c r="D49" i="9"/>
  <c r="I45" i="9"/>
  <c r="I51" i="9"/>
  <c r="I47" i="9"/>
  <c r="I50" i="9"/>
  <c r="I53" i="9"/>
  <c r="I52" i="9"/>
  <c r="I48" i="9"/>
  <c r="I46" i="9"/>
  <c r="I44" i="9"/>
  <c r="I49" i="9"/>
  <c r="K53" i="9"/>
  <c r="K50" i="9"/>
  <c r="K45" i="9"/>
  <c r="K47" i="9"/>
  <c r="K46" i="9"/>
  <c r="K51" i="9"/>
  <c r="K52" i="9"/>
  <c r="K48" i="9"/>
  <c r="K49" i="9"/>
  <c r="K44" i="9"/>
  <c r="J53" i="9"/>
  <c r="J50" i="9"/>
  <c r="J45" i="9"/>
  <c r="J51" i="9"/>
  <c r="J52" i="9"/>
  <c r="J47" i="9"/>
  <c r="J48" i="9"/>
  <c r="J46" i="9"/>
  <c r="J44" i="9"/>
  <c r="J49" i="9"/>
  <c r="M45" i="9"/>
  <c r="M51" i="9"/>
  <c r="M47" i="9"/>
  <c r="M50" i="9"/>
  <c r="M53" i="9"/>
  <c r="M52" i="9"/>
  <c r="M48" i="9"/>
  <c r="M46" i="9"/>
  <c r="M44" i="9"/>
  <c r="M49" i="9"/>
  <c r="M29" i="2"/>
  <c r="F39" i="2"/>
  <c r="G38" i="2"/>
  <c r="H35" i="2"/>
  <c r="F37" i="2"/>
  <c r="H39" i="2"/>
  <c r="E36" i="2"/>
  <c r="E37" i="2"/>
  <c r="E39" i="2"/>
  <c r="D35" i="2"/>
  <c r="G35" i="2"/>
  <c r="G36" i="2"/>
  <c r="G39" i="2"/>
  <c r="G37" i="2"/>
  <c r="E35" i="2"/>
  <c r="E38" i="2"/>
  <c r="F38" i="2"/>
  <c r="H36" i="2"/>
  <c r="D36" i="2"/>
  <c r="D38" i="2"/>
  <c r="D37" i="2"/>
  <c r="H38" i="2"/>
  <c r="H37" i="2"/>
  <c r="F35" i="2"/>
  <c r="F36" i="2"/>
  <c r="D41" i="2" l="1" a="1"/>
  <c r="F41" i="2" l="1"/>
  <c r="K42" i="2"/>
  <c r="K41" i="2"/>
  <c r="I43" i="2"/>
  <c r="E43" i="2"/>
  <c r="K43" i="2"/>
  <c r="E41" i="2"/>
  <c r="L43" i="2"/>
  <c r="D42" i="2"/>
  <c r="G43" i="2"/>
  <c r="H43" i="2"/>
  <c r="E42" i="2"/>
  <c r="J43" i="2"/>
  <c r="J41" i="2"/>
  <c r="H41" i="2"/>
  <c r="G42" i="2"/>
  <c r="D41" i="2"/>
  <c r="F43" i="2"/>
  <c r="M41" i="2"/>
  <c r="I41" i="2"/>
  <c r="M42" i="2"/>
  <c r="J42" i="2"/>
  <c r="F42" i="2"/>
  <c r="H42" i="2"/>
  <c r="D43" i="2"/>
  <c r="M43" i="2"/>
  <c r="I42" i="2"/>
  <c r="L41" i="2"/>
  <c r="G41" i="2"/>
  <c r="L42" i="2"/>
  <c r="I46" i="2" l="1"/>
  <c r="I53" i="2"/>
  <c r="I45" i="2"/>
  <c r="I47" i="2"/>
  <c r="I50" i="2"/>
  <c r="I44" i="2"/>
  <c r="I51" i="2"/>
  <c r="I52" i="2"/>
  <c r="I48" i="2"/>
  <c r="I49" i="2"/>
  <c r="H46" i="2"/>
  <c r="H48" i="2"/>
  <c r="H49" i="2"/>
  <c r="H53" i="2"/>
  <c r="H51" i="2"/>
  <c r="H44" i="2"/>
  <c r="H52" i="2"/>
  <c r="H45" i="2"/>
  <c r="H50" i="2"/>
  <c r="H47" i="2"/>
  <c r="M44" i="2"/>
  <c r="M48" i="2"/>
  <c r="M49" i="2"/>
  <c r="M51" i="2"/>
  <c r="M46" i="2"/>
  <c r="M53" i="2"/>
  <c r="M45" i="2"/>
  <c r="M47" i="2"/>
  <c r="M50" i="2"/>
  <c r="M52" i="2"/>
  <c r="F51" i="2"/>
  <c r="F44" i="2"/>
  <c r="F53" i="2"/>
  <c r="F47" i="2"/>
  <c r="F46" i="2"/>
  <c r="F49" i="2"/>
  <c r="F52" i="2"/>
  <c r="F48" i="2"/>
  <c r="F50" i="2"/>
  <c r="F45" i="2"/>
  <c r="G48" i="2"/>
  <c r="G51" i="2"/>
  <c r="G46" i="2"/>
  <c r="G50" i="2"/>
  <c r="G52" i="2"/>
  <c r="G53" i="2"/>
  <c r="G47" i="2"/>
  <c r="G44" i="2"/>
  <c r="G49" i="2"/>
  <c r="G45" i="2"/>
  <c r="K52" i="2"/>
  <c r="K45" i="2"/>
  <c r="K51" i="2"/>
  <c r="K46" i="2"/>
  <c r="K48" i="2"/>
  <c r="K50" i="2"/>
  <c r="K44" i="2"/>
  <c r="K49" i="2"/>
  <c r="K53" i="2"/>
  <c r="K47" i="2"/>
  <c r="L51" i="2"/>
  <c r="L52" i="2"/>
  <c r="L44" i="2"/>
  <c r="L53" i="2"/>
  <c r="L47" i="2"/>
  <c r="L46" i="2"/>
  <c r="L48" i="2"/>
  <c r="L49" i="2"/>
  <c r="L45" i="2"/>
  <c r="L50" i="2"/>
  <c r="D49" i="2"/>
  <c r="D47" i="2"/>
  <c r="D46" i="2"/>
  <c r="D52" i="2"/>
  <c r="D50" i="2"/>
  <c r="D53" i="2"/>
  <c r="D45" i="2"/>
  <c r="D51" i="2"/>
  <c r="D44" i="2"/>
  <c r="D48" i="2"/>
  <c r="J45" i="2"/>
  <c r="J52" i="2"/>
  <c r="J53" i="2"/>
  <c r="J50" i="2"/>
  <c r="J51" i="2"/>
  <c r="J44" i="2"/>
  <c r="J47" i="2"/>
  <c r="J46" i="2"/>
  <c r="J48" i="2"/>
  <c r="J49" i="2"/>
  <c r="E51" i="2"/>
  <c r="E52" i="2"/>
  <c r="E48" i="2"/>
  <c r="E49" i="2"/>
  <c r="E47" i="2"/>
  <c r="E50" i="2"/>
  <c r="E46" i="2"/>
  <c r="E45" i="2"/>
  <c r="E44" i="2"/>
  <c r="E53" i="2"/>
  <c r="E26" i="13" l="1"/>
  <c r="B39" i="13" s="1"/>
  <c r="C39" i="13"/>
  <c r="C29" i="13"/>
  <c r="P24" i="13"/>
  <c r="C51" i="13" s="1"/>
  <c r="J24" i="13"/>
  <c r="C46" i="13" s="1"/>
  <c r="C37" i="13"/>
  <c r="C44" i="13"/>
  <c r="J26" i="13"/>
  <c r="C48" i="13" s="1"/>
  <c r="E24" i="13"/>
  <c r="B37" i="13"/>
  <c r="D33" i="13" s="1" a="1"/>
  <c r="P23" i="13"/>
  <c r="C50" i="13" s="1"/>
  <c r="B29" i="13"/>
  <c r="J25" i="13" s="1"/>
  <c r="J22" i="13"/>
  <c r="K22" i="13" s="1"/>
  <c r="K25" i="13" l="1"/>
  <c r="C47" i="13"/>
  <c r="D34" i="13"/>
  <c r="H34" i="13"/>
  <c r="H39" i="13" s="1"/>
  <c r="D33" i="13"/>
  <c r="H33" i="13"/>
  <c r="G34" i="13"/>
  <c r="E34" i="13"/>
  <c r="G33" i="13"/>
  <c r="E33" i="13"/>
  <c r="F34" i="13"/>
  <c r="F33" i="13"/>
  <c r="E17" i="13"/>
  <c r="P26" i="13"/>
  <c r="Q23" i="13"/>
  <c r="D29" i="13"/>
  <c r="G37" i="13"/>
  <c r="K24" i="13"/>
  <c r="P22" i="13"/>
  <c r="J23" i="13"/>
  <c r="Q24" i="13"/>
  <c r="P25" i="13"/>
  <c r="F37" i="13" l="1"/>
  <c r="F39" i="13"/>
  <c r="F36" i="13"/>
  <c r="F38" i="13"/>
  <c r="F35" i="13"/>
  <c r="D39" i="13"/>
  <c r="D35" i="13"/>
  <c r="D36" i="13"/>
  <c r="D38" i="13"/>
  <c r="E39" i="13"/>
  <c r="E35" i="13"/>
  <c r="E37" i="13"/>
  <c r="E36" i="13"/>
  <c r="E38" i="13"/>
  <c r="G39" i="13"/>
  <c r="G38" i="13"/>
  <c r="G36" i="13"/>
  <c r="G35" i="13"/>
  <c r="Q25" i="13"/>
  <c r="C52" i="13"/>
  <c r="Q26" i="13"/>
  <c r="C53" i="13"/>
  <c r="K23" i="13"/>
  <c r="G29" i="13"/>
  <c r="B13" i="13" s="1"/>
  <c r="H29" i="13"/>
  <c r="C45" i="13"/>
  <c r="L29" i="13"/>
  <c r="M29" i="13"/>
  <c r="Q22" i="13"/>
  <c r="C49" i="13"/>
  <c r="H37" i="13"/>
  <c r="H35" i="13"/>
  <c r="H38" i="13"/>
  <c r="H36" i="13"/>
  <c r="D37" i="13"/>
  <c r="B51" i="13" l="1"/>
  <c r="B53" i="13"/>
  <c r="B52" i="13"/>
  <c r="B49" i="13"/>
  <c r="N29" i="13"/>
  <c r="B50" i="13"/>
  <c r="B48" i="13"/>
  <c r="B46" i="13"/>
  <c r="B44" i="13"/>
  <c r="D41" i="13" s="1" a="1"/>
  <c r="M43" i="13" s="1"/>
  <c r="I29" i="13"/>
  <c r="B47" i="13"/>
  <c r="B45" i="13"/>
  <c r="E43" i="13" l="1"/>
  <c r="E42" i="13"/>
  <c r="L43" i="13"/>
  <c r="I41" i="13"/>
  <c r="H41" i="13"/>
  <c r="E41" i="13"/>
  <c r="G41" i="13"/>
  <c r="L41" i="13"/>
  <c r="M41" i="13"/>
  <c r="J41" i="13"/>
  <c r="K41" i="13"/>
  <c r="D41" i="13"/>
  <c r="F41" i="13"/>
  <c r="F43" i="13"/>
  <c r="J43" i="13"/>
  <c r="J44" i="13" s="1"/>
  <c r="K43" i="13"/>
  <c r="D43" i="13"/>
  <c r="H43" i="13"/>
  <c r="H51" i="13" s="1"/>
  <c r="G43" i="13"/>
  <c r="I42" i="13"/>
  <c r="L42" i="13"/>
  <c r="L49" i="13" s="1"/>
  <c r="M42" i="13"/>
  <c r="M52" i="13" s="1"/>
  <c r="I43" i="13"/>
  <c r="I48" i="13" s="1"/>
  <c r="K42" i="13"/>
  <c r="K51" i="13" s="1"/>
  <c r="M44" i="13"/>
  <c r="M51" i="13"/>
  <c r="M50" i="13"/>
  <c r="M47" i="13"/>
  <c r="M53" i="13"/>
  <c r="K49" i="13"/>
  <c r="G42" i="13"/>
  <c r="L44" i="13"/>
  <c r="L51" i="13"/>
  <c r="L50" i="13"/>
  <c r="L47" i="13"/>
  <c r="J42" i="13"/>
  <c r="E50" i="13"/>
  <c r="E48" i="13"/>
  <c r="E44" i="13"/>
  <c r="E46" i="13"/>
  <c r="E51" i="13"/>
  <c r="E47" i="13"/>
  <c r="M45" i="13"/>
  <c r="E53" i="13"/>
  <c r="D42" i="13"/>
  <c r="D51" i="13" s="1"/>
  <c r="D44" i="13"/>
  <c r="E45" i="13"/>
  <c r="G49" i="13"/>
  <c r="F42" i="13"/>
  <c r="F46" i="13"/>
  <c r="H46" i="13"/>
  <c r="D45" i="13"/>
  <c r="H45" i="13"/>
  <c r="E52" i="13"/>
  <c r="H42" i="13"/>
  <c r="H52" i="13" s="1"/>
  <c r="D48" i="13"/>
  <c r="F48" i="13"/>
  <c r="H48" i="13"/>
  <c r="J48" i="13"/>
  <c r="L52" i="13"/>
  <c r="I47" i="13" l="1"/>
  <c r="I46" i="13"/>
  <c r="I50" i="13"/>
  <c r="M48" i="13"/>
  <c r="L45" i="13"/>
  <c r="L53" i="13"/>
  <c r="L48" i="13"/>
  <c r="M46" i="13"/>
  <c r="I52" i="13"/>
  <c r="I45" i="13"/>
  <c r="J46" i="13"/>
  <c r="I53" i="13"/>
  <c r="M49" i="13"/>
  <c r="F51" i="13"/>
  <c r="L46" i="13"/>
  <c r="I51" i="13"/>
  <c r="E49" i="13"/>
  <c r="H44" i="13"/>
  <c r="H49" i="13"/>
  <c r="H53" i="13"/>
  <c r="I49" i="13"/>
  <c r="H50" i="13"/>
  <c r="I44" i="13"/>
  <c r="D50" i="13"/>
  <c r="G53" i="13"/>
  <c r="G45" i="13"/>
  <c r="G52" i="13"/>
  <c r="G50" i="13"/>
  <c r="G46" i="13"/>
  <c r="G51" i="13"/>
  <c r="K50" i="13"/>
  <c r="K47" i="13"/>
  <c r="F45" i="13"/>
  <c r="F53" i="13"/>
  <c r="F52" i="13"/>
  <c r="F44" i="13"/>
  <c r="J53" i="13"/>
  <c r="J49" i="13"/>
  <c r="J52" i="13"/>
  <c r="G47" i="13"/>
  <c r="J45" i="13"/>
  <c r="J51" i="13"/>
  <c r="D53" i="13"/>
  <c r="D52" i="13"/>
  <c r="J47" i="13"/>
  <c r="F47" i="13"/>
  <c r="K45" i="13"/>
  <c r="K53" i="13"/>
  <c r="K52" i="13"/>
  <c r="D49" i="13"/>
  <c r="K48" i="13"/>
  <c r="D46" i="13"/>
  <c r="J50" i="13"/>
  <c r="D47" i="13"/>
  <c r="G48" i="13"/>
  <c r="F49" i="13"/>
  <c r="K46" i="13"/>
  <c r="K44" i="13"/>
  <c r="F50" i="13"/>
  <c r="H47" i="13"/>
  <c r="G44" i="13"/>
</calcChain>
</file>

<file path=xl/sharedStrings.xml><?xml version="1.0" encoding="utf-8"?>
<sst xmlns="http://schemas.openxmlformats.org/spreadsheetml/2006/main" count="1143" uniqueCount="46">
  <si>
    <t>eta_0</t>
  </si>
  <si>
    <t>eta</t>
  </si>
  <si>
    <t>pressione</t>
  </si>
  <si>
    <t>densità aria</t>
  </si>
  <si>
    <t>g</t>
  </si>
  <si>
    <t>Raggio</t>
  </si>
  <si>
    <t>Misura di d</t>
  </si>
  <si>
    <t>n</t>
  </si>
  <si>
    <t>d</t>
  </si>
  <si>
    <t>Errore</t>
  </si>
  <si>
    <t>Errore strumentale</t>
  </si>
  <si>
    <t>Dev std media</t>
  </si>
  <si>
    <t xml:space="preserve">Valore </t>
  </si>
  <si>
    <t>Costanti varie</t>
  </si>
  <si>
    <t>densità olio</t>
  </si>
  <si>
    <t>cst corr vis</t>
  </si>
  <si>
    <t>Misure</t>
  </si>
  <si>
    <t>discesa</t>
  </si>
  <si>
    <t>salita</t>
  </si>
  <si>
    <t>deltaV</t>
  </si>
  <si>
    <t>v</t>
  </si>
  <si>
    <t>r</t>
  </si>
  <si>
    <t>Q</t>
  </si>
  <si>
    <t>Ohm</t>
  </si>
  <si>
    <t>t</t>
  </si>
  <si>
    <t>e</t>
  </si>
  <si>
    <t>errore</t>
  </si>
  <si>
    <t>Velocità</t>
  </si>
  <si>
    <t>Media</t>
  </si>
  <si>
    <t>DevStd</t>
  </si>
  <si>
    <t>Errore Prop</t>
  </si>
  <si>
    <t>deltax</t>
  </si>
  <si>
    <t>E</t>
  </si>
  <si>
    <t>Carica</t>
  </si>
  <si>
    <t>DevStdM</t>
  </si>
  <si>
    <t>q</t>
  </si>
  <si>
    <t>d0</t>
  </si>
  <si>
    <t>d1</t>
  </si>
  <si>
    <t>discess</t>
  </si>
  <si>
    <t>delta t</t>
  </si>
  <si>
    <t xml:space="preserve">media </t>
  </si>
  <si>
    <t>dev std</t>
  </si>
  <si>
    <t>max</t>
  </si>
  <si>
    <t>min</t>
  </si>
  <si>
    <t>media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</si>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</sst>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0.0000E+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2" fontId="0" fillId="3" borderId="0" xfId="0" applyNumberFormat="1" applyFill="1"/>
    <xf numFmtId="164" fontId="0" fillId="0" borderId="0" xfId="0" applyNumberFormat="1"/>
    <xf numFmtId="1" fontId="0" fillId="0" borderId="0" xfId="0" applyNumberFormat="1"/>
    <xf numFmtId="0" fontId="0" fillId="3" borderId="0" xfId="0" applyNumberFormat="1" applyFill="1"/>
    <xf numFmtId="11" fontId="0" fillId="2" borderId="0" xfId="0" applyNumberFormat="1" applyFill="1"/>
    <xf numFmtId="0" fontId="0" fillId="4" borderId="0" xfId="0" applyFill="1"/>
    <xf numFmtId="164" fontId="0" fillId="3" borderId="0" xfId="0" applyNumberFormat="1" applyFill="1"/>
    <xf numFmtId="11" fontId="0" fillId="4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2" fontId="1" fillId="2" borderId="0" xfId="0" applyNumberFormat="1" applyFont="1" applyFill="1"/>
    <xf numFmtId="164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169" fontId="0" fillId="0" borderId="0" xfId="0" applyNumberFormat="1"/>
    <xf numFmtId="164" fontId="0" fillId="4" borderId="0" xfId="0" applyNumberFormat="1" applyFill="1"/>
  </cellXfs>
  <cellStyles count="1">
    <cellStyle name="Normal" xfId="0" builtinId="0"/>
  </cellStyles>
  <dxfs count="6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42578125" bestFit="1" customWidth="1"/>
    <col min="7" max="7" width="11.5703125" bestFit="1" customWidth="1"/>
  </cols>
  <sheetData>
    <row r="1" spans="1:9" x14ac:dyDescent="0.25">
      <c r="A1" s="9" t="s">
        <v>13</v>
      </c>
      <c r="B1" s="9"/>
      <c r="C1" s="9"/>
    </row>
    <row r="2" spans="1:9" x14ac:dyDescent="0.25">
      <c r="A2" s="9"/>
      <c r="B2" s="9"/>
      <c r="C2" s="9"/>
    </row>
    <row r="4" spans="1:9" x14ac:dyDescent="0.25">
      <c r="B4" t="s">
        <v>12</v>
      </c>
      <c r="C4" t="s">
        <v>9</v>
      </c>
    </row>
    <row r="5" spans="1:9" x14ac:dyDescent="0.25">
      <c r="A5" t="s">
        <v>8</v>
      </c>
      <c r="B5">
        <f>AVERAGE(G8:G14)</f>
        <v>7.4300000000000008E-3</v>
      </c>
      <c r="C5" s="1">
        <f>MAX(G15:G16)</f>
        <v>1.0000000000000001E-5</v>
      </c>
    </row>
    <row r="6" spans="1:9" x14ac:dyDescent="0.25">
      <c r="A6" t="s">
        <v>4</v>
      </c>
      <c r="B6">
        <v>9.8059999999999992</v>
      </c>
      <c r="C6">
        <v>0</v>
      </c>
      <c r="F6" s="8" t="s">
        <v>6</v>
      </c>
      <c r="G6" s="8"/>
    </row>
    <row r="7" spans="1:9" x14ac:dyDescent="0.25">
      <c r="A7" t="s">
        <v>2</v>
      </c>
      <c r="B7">
        <v>101325</v>
      </c>
      <c r="C7">
        <v>0</v>
      </c>
      <c r="F7" t="s">
        <v>7</v>
      </c>
      <c r="G7" t="s">
        <v>8</v>
      </c>
      <c r="H7" t="s">
        <v>36</v>
      </c>
      <c r="I7" t="s">
        <v>37</v>
      </c>
    </row>
    <row r="8" spans="1:9" x14ac:dyDescent="0.25">
      <c r="A8" t="s">
        <v>3</v>
      </c>
      <c r="B8">
        <v>860</v>
      </c>
      <c r="C8">
        <v>0</v>
      </c>
      <c r="F8">
        <v>1</v>
      </c>
      <c r="G8">
        <f>I8-H8</f>
        <v>7.43E-3</v>
      </c>
      <c r="H8" s="1">
        <v>0</v>
      </c>
      <c r="I8" s="1">
        <v>7.43E-3</v>
      </c>
    </row>
    <row r="9" spans="1:9" x14ac:dyDescent="0.25">
      <c r="A9" t="s">
        <v>14</v>
      </c>
      <c r="B9">
        <v>1293</v>
      </c>
      <c r="C9">
        <v>0</v>
      </c>
      <c r="F9">
        <v>2</v>
      </c>
      <c r="G9">
        <f t="shared" ref="G9:G13" si="0">I9-H9</f>
        <v>7.43E-3</v>
      </c>
      <c r="H9" s="1">
        <v>0</v>
      </c>
      <c r="I9" s="1">
        <v>7.43E-3</v>
      </c>
    </row>
    <row r="10" spans="1:9" x14ac:dyDescent="0.25">
      <c r="A10" t="s">
        <v>15</v>
      </c>
      <c r="B10" s="1">
        <v>8.2000000000000007E-3</v>
      </c>
      <c r="C10">
        <v>0</v>
      </c>
      <c r="F10">
        <v>3</v>
      </c>
      <c r="G10">
        <f t="shared" si="0"/>
        <v>7.4200000000000004E-3</v>
      </c>
      <c r="H10" s="1">
        <v>0</v>
      </c>
      <c r="I10" s="1">
        <v>7.4200000000000004E-3</v>
      </c>
    </row>
    <row r="11" spans="1:9" x14ac:dyDescent="0.25">
      <c r="A11" t="s">
        <v>25</v>
      </c>
      <c r="B11" s="4">
        <v>1.6021766200000001E-19</v>
      </c>
      <c r="C11">
        <v>0</v>
      </c>
      <c r="F11">
        <v>4</v>
      </c>
      <c r="G11">
        <f t="shared" si="0"/>
        <v>7.4200000000000004E-3</v>
      </c>
      <c r="H11" s="1">
        <v>0</v>
      </c>
      <c r="I11" s="1">
        <v>7.4200000000000004E-3</v>
      </c>
    </row>
    <row r="12" spans="1:9" x14ac:dyDescent="0.25">
      <c r="A12" t="s">
        <v>31</v>
      </c>
      <c r="B12" s="1">
        <v>5.0000000000000001E-4</v>
      </c>
      <c r="C12">
        <v>0</v>
      </c>
      <c r="F12">
        <v>5</v>
      </c>
      <c r="G12">
        <f t="shared" si="0"/>
        <v>7.43E-3</v>
      </c>
      <c r="H12" s="1">
        <v>0</v>
      </c>
      <c r="I12" s="1">
        <v>7.43E-3</v>
      </c>
    </row>
    <row r="13" spans="1:9" x14ac:dyDescent="0.25">
      <c r="F13">
        <v>6</v>
      </c>
      <c r="G13">
        <f t="shared" si="0"/>
        <v>7.4400000000000004E-3</v>
      </c>
      <c r="H13" s="1">
        <v>0</v>
      </c>
      <c r="I13" s="1">
        <v>7.4400000000000004E-3</v>
      </c>
    </row>
    <row r="14" spans="1:9" x14ac:dyDescent="0.25">
      <c r="F14">
        <v>7</v>
      </c>
      <c r="G14">
        <f t="shared" ref="G14" si="1">I14-H14</f>
        <v>7.4400000000000004E-3</v>
      </c>
      <c r="H14" s="1">
        <v>0</v>
      </c>
      <c r="I14" s="1">
        <v>7.4400000000000004E-3</v>
      </c>
    </row>
    <row r="15" spans="1:9" x14ac:dyDescent="0.25">
      <c r="F15" t="s">
        <v>10</v>
      </c>
      <c r="G15" s="1">
        <v>1.0000000000000001E-5</v>
      </c>
    </row>
    <row r="16" spans="1:9" x14ac:dyDescent="0.25">
      <c r="F16" t="s">
        <v>11</v>
      </c>
      <c r="G16">
        <f>_xlfn.STDEV.S(G8:G14)/SQRT(7)</f>
        <v>3.0860669992418463E-6</v>
      </c>
    </row>
  </sheetData>
  <mergeCells count="2">
    <mergeCell ref="F6:G6"/>
    <mergeCell ref="A1:C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0" zoomScaleNormal="100" workbookViewId="0">
      <selection activeCell="A20" sqref="A1:XFD1048576"/>
    </sheetView>
  </sheetViews>
  <sheetFormatPr defaultRowHeight="15" x14ac:dyDescent="0.25"/>
  <cols>
    <col min="1" max="1" width="11.42578125" bestFit="1" customWidth="1"/>
    <col min="2" max="2" width="10.140625" customWidth="1"/>
    <col min="3" max="4" width="13.28515625" bestFit="1" customWidth="1"/>
    <col min="5" max="7" width="13.140625" bestFit="1" customWidth="1"/>
    <col min="8" max="8" width="11.5703125" bestFit="1" customWidth="1"/>
    <col min="9" max="9" width="9.28515625" bestFit="1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25">
      <c r="A14" s="9" t="s">
        <v>16</v>
      </c>
      <c r="B14" s="9"/>
      <c r="C14" s="9"/>
      <c r="D14" s="3"/>
    </row>
    <row r="15" spans="1:5" x14ac:dyDescent="0.25">
      <c r="A15" s="9"/>
      <c r="B15" s="9"/>
      <c r="C15" s="9"/>
      <c r="D15" s="3"/>
    </row>
    <row r="16" spans="1:5" x14ac:dyDescent="0.25">
      <c r="A16" t="s">
        <v>19</v>
      </c>
      <c r="B16">
        <v>301</v>
      </c>
      <c r="C16">
        <f>B16/100</f>
        <v>3.01</v>
      </c>
      <c r="D16" t="s">
        <v>0</v>
      </c>
      <c r="E16">
        <f>(1.8+(B18-15)*0.004765)*0.00001</f>
        <v>1.8333550000000003E-5</v>
      </c>
    </row>
    <row r="17" spans="1:13" x14ac:dyDescent="0.25">
      <c r="A17" t="s">
        <v>23</v>
      </c>
      <c r="D17" t="s">
        <v>1</v>
      </c>
      <c r="E17" s="2">
        <f>E16/(1+$B$10/($B$7*B29))</f>
        <v>1.5892865939688976E-5</v>
      </c>
    </row>
    <row r="18" spans="1:13" x14ac:dyDescent="0.25">
      <c r="A18" t="s">
        <v>24</v>
      </c>
      <c r="B18">
        <v>22</v>
      </c>
      <c r="D18" t="s">
        <v>32</v>
      </c>
      <c r="E18" s="1">
        <f>B16/B5</f>
        <v>40511.440107671595</v>
      </c>
    </row>
    <row r="20" spans="1:13" x14ac:dyDescent="0.25">
      <c r="A20" t="s">
        <v>7</v>
      </c>
      <c r="B20">
        <v>1</v>
      </c>
    </row>
    <row r="21" spans="1:13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25">
      <c r="A22">
        <v>1</v>
      </c>
      <c r="B22">
        <v>15.2</v>
      </c>
      <c r="C22" s="1">
        <f>B12/B22</f>
        <v>3.2894736842105262E-5</v>
      </c>
      <c r="D22">
        <f>(($B$10/(2*$B$7))^2+9*E16*C22/(2*$B$6*($B$9-$B$8)))^(1/2)-$B$10/(2*$B$7)</f>
        <v>5.2868574672021356E-7</v>
      </c>
      <c r="E22" s="1">
        <f>(D22+$B$10/(2*$B$7))^(-1)*9*E16/(2*$B$6*($B$9-$B$8))*1/2*C28</f>
        <v>3.6001802649346206E-9</v>
      </c>
      <c r="F22" s="1"/>
      <c r="G22">
        <v>10.3</v>
      </c>
      <c r="H22" s="1">
        <f>$B$12/(G22)</f>
        <v>4.8543689320388346E-5</v>
      </c>
      <c r="I22" s="1">
        <f>(4*PI()/3)*B29^3*($B$9-$B$8)*($B$6/E18)*(1+ABS(H22)/B28)</f>
        <v>3.1654779217296025E-19</v>
      </c>
      <c r="K22">
        <v>4.3</v>
      </c>
      <c r="L22" s="1">
        <f>B12/K22</f>
        <v>1.1627906976744187E-4</v>
      </c>
      <c r="M22" s="1">
        <f>-(4*PI()/3)*B29^3*($B$9-$B$8)*($B$6/$E$18)*(1-ABS(L22)/B28)</f>
        <v>3.2563655889261418E-19</v>
      </c>
    </row>
    <row r="23" spans="1:13" x14ac:dyDescent="0.25">
      <c r="A23">
        <v>2</v>
      </c>
      <c r="B23">
        <v>30.8</v>
      </c>
      <c r="C23" s="1">
        <f>$B$12/(B23-B22)</f>
        <v>3.2051282051282051E-5</v>
      </c>
      <c r="D23">
        <f>(($B$10/(2*$B$7))^2+9*E16*C23/(2*$B$6*($B$9-$B$8)))^(1/2)-$B$10/(2*$B$7)</f>
        <v>5.2137893602708232E-7</v>
      </c>
      <c r="E23" s="1">
        <f>(D23+$B$10/(2*$B$7))^(-1)*9*E16/(2*$B$6*($B$9-$B$8))*1/2*C28</f>
        <v>3.6470008989749427E-9</v>
      </c>
      <c r="F23" s="1"/>
      <c r="G23">
        <v>20.7</v>
      </c>
      <c r="H23" s="1">
        <f>$B$12/(G23-G22)</f>
        <v>4.8076923076923084E-5</v>
      </c>
      <c r="I23" s="1">
        <f>(4*PI()/3)*B29^3*($B$9-$B$8)*($B$6/E18)*(1+ABS(H23)/B28)</f>
        <v>3.1472917210605958E-19</v>
      </c>
      <c r="K23">
        <v>8.6999999999999993</v>
      </c>
      <c r="L23" s="1">
        <f>$B$12/(K23-K22)</f>
        <v>1.1363636363636365E-4</v>
      </c>
      <c r="M23" s="1">
        <f>-(4*PI()/3)*B29^3*($B$9-$B$8)*($B$6/$E$18)*(1-ABS(L23)/B28)</f>
        <v>3.1534001652652546E-19</v>
      </c>
    </row>
    <row r="24" spans="1:13" x14ac:dyDescent="0.25">
      <c r="A24">
        <v>3</v>
      </c>
      <c r="B24">
        <v>45.7</v>
      </c>
      <c r="C24" s="1">
        <f t="shared" ref="C24:C26" si="0">$B$12/(B24-B23)</f>
        <v>3.3557046979865769E-5</v>
      </c>
      <c r="D24">
        <f>(($B$10/(2*$B$7))^2+9*E16*C24/(2*$B$6*($B$9-$B$8)))^(1/2)-$B$10/(2*$B$7)</f>
        <v>5.343582122273456E-7</v>
      </c>
      <c r="E24" s="1">
        <f>(D24+$B$10/(2*$B$7))^(-1)*9*E16/(2*$B$6*($B$9-$B$8))*1/2*C28</f>
        <v>3.5646529259988911E-9</v>
      </c>
      <c r="F24" s="1"/>
      <c r="G24">
        <v>31.1</v>
      </c>
      <c r="H24" s="1">
        <f>$B$12/(G24-G23)</f>
        <v>4.807692307692307E-5</v>
      </c>
      <c r="I24" s="1">
        <f>(4*PI()/3)*B29^3*($B$9-$B$8)*($B$6/E18)*(1+ABS(H24)/B28)</f>
        <v>3.1472917210605953E-19</v>
      </c>
      <c r="K24">
        <v>13.2</v>
      </c>
      <c r="L24" s="1">
        <f t="shared" ref="L24:L26" si="1">$B$12/(K24-K23)</f>
        <v>1.1111111111111112E-4</v>
      </c>
      <c r="M24" s="1">
        <f>-(4*PI()/3)*B29^3*($B$9-$B$8)*($B$6/E18)*(1-ABS(L24)/B28)</f>
        <v>3.0550109826559619E-19</v>
      </c>
    </row>
    <row r="25" spans="1:13" x14ac:dyDescent="0.25">
      <c r="A25">
        <v>4</v>
      </c>
      <c r="B25">
        <v>60.6</v>
      </c>
      <c r="C25" s="1">
        <f t="shared" si="0"/>
        <v>3.3557046979865775E-5</v>
      </c>
      <c r="D25">
        <f>(($B$10/(2*$B$7))^2+9*E16*C25/(2*$B$6*($B$9-$B$8)))^(1/2)-$B$10/(2*$B$7)</f>
        <v>5.3435821222734571E-7</v>
      </c>
      <c r="E25" s="1">
        <f>(D25+$B$10/(2*$B$7))^(-1)*9*E16/(2*$B$6*($B$9-$B$8))*1/2*C28</f>
        <v>3.5646529259988894E-9</v>
      </c>
      <c r="F25" s="1"/>
      <c r="G25">
        <v>41.6</v>
      </c>
      <c r="H25" s="1">
        <f>$B$12/(G25-G24)</f>
        <v>4.761904761904762E-5</v>
      </c>
      <c r="I25" s="1">
        <f>(4*PI()/3)*B29^3*($B$9-$B$8)*($B$6/E18)*(1+ABS(H25)/B28)</f>
        <v>3.1294519242138558E-19</v>
      </c>
      <c r="K25">
        <v>17.399999999999999</v>
      </c>
      <c r="L25" s="1">
        <f t="shared" si="1"/>
        <v>1.1904761904761907E-4</v>
      </c>
      <c r="M25" s="1">
        <f>-(4*PI()/3)*B29^3*($B$9-$B$8)*($B$6/E18)*(1-ABS(L25)/B28)</f>
        <v>3.3642341279994535E-19</v>
      </c>
    </row>
    <row r="26" spans="1:13" x14ac:dyDescent="0.25">
      <c r="A26">
        <v>5</v>
      </c>
      <c r="B26">
        <v>76.5</v>
      </c>
      <c r="C26" s="1">
        <f t="shared" si="0"/>
        <v>3.144654088050315E-5</v>
      </c>
      <c r="D26">
        <f>(($B$10/(2*$B$7))^2+9*E16*C26/(2*$B$6*($B$9-$B$8)))^(1/2)-$B$10/(2*$B$7)</f>
        <v>5.1608104663133366E-7</v>
      </c>
      <c r="E26" s="1">
        <f>(D26+$B$10/(2*$B$7))^(-1)*9*E16/(2*$B$6*($B$9-$B$8))*1/2*C28</f>
        <v>3.6817176080298484E-9</v>
      </c>
      <c r="F26" s="1"/>
      <c r="G26">
        <v>52</v>
      </c>
      <c r="H26" s="1">
        <f>$B$12/(G26-G25)</f>
        <v>4.8076923076923084E-5</v>
      </c>
      <c r="I26" s="1">
        <f>(4*PI()/3)*B29^3*($B$9-$B$8)*($B$6/E18)*(1+ABS(H26)/B28)</f>
        <v>3.1472917210605958E-19</v>
      </c>
      <c r="K26">
        <v>21.7</v>
      </c>
      <c r="L26" s="1">
        <f t="shared" si="1"/>
        <v>1.1627906976744184E-4</v>
      </c>
      <c r="M26" s="1">
        <f>-(4*PI()/3)*B29^3*($B$9-$B$8)*($B$6/E18)*(1-ABS(L26)/B28)</f>
        <v>3.2563655889261408E-19</v>
      </c>
    </row>
    <row r="27" spans="1:13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25">
      <c r="A28" t="s">
        <v>27</v>
      </c>
      <c r="B28" s="1">
        <f>AVERAGE(C22:C26)</f>
        <v>3.2701330746724399E-5</v>
      </c>
      <c r="C28" s="1">
        <f>_xlfn.STDEV.S(C22:C26)/SQRT(COUNT(C22:C26))</f>
        <v>4.1826829761958E-7</v>
      </c>
      <c r="F28" t="str">
        <f>J28</f>
        <v>Velocità</v>
      </c>
      <c r="G28" s="1">
        <f>AVERAGE(H22:H26)</f>
        <v>4.8078701234041045E-5</v>
      </c>
      <c r="H28" s="1">
        <f>_xlfn.STDEV.S(H22:H26)</f>
        <v>3.2691927587313399E-7</v>
      </c>
      <c r="I28" s="2">
        <f>H28/SQRT(5)</f>
        <v>1.4620274480146689E-7</v>
      </c>
      <c r="J28" t="s">
        <v>27</v>
      </c>
      <c r="K28" s="1">
        <f>AVERAGE(L22:L26)</f>
        <v>1.1527064666599552E-4</v>
      </c>
      <c r="L28" s="1">
        <f>_xlfn.STDEV.S(L22:L26)</f>
        <v>3.01131083283919E-6</v>
      </c>
      <c r="M28" s="2">
        <f>L28/SQRT(5)</f>
        <v>1.346699144721987E-6</v>
      </c>
    </row>
    <row r="29" spans="1:13" x14ac:dyDescent="0.25">
      <c r="A29" t="s">
        <v>5</v>
      </c>
      <c r="B29">
        <f>AVERAGE(D22:D26)</f>
        <v>5.2697243076666417E-7</v>
      </c>
      <c r="C29">
        <f>_xlfn.STDEV.S(D22:D26)/SQRT(COUNT(D22:D26))</f>
        <v>3.619008282054895E-9</v>
      </c>
      <c r="D29" s="1">
        <f>(B29+$B$10/(2*$B$7))^(-1)*9*E16/(2*$B$6*($B$9-$B$8))*1/2*C28</f>
        <v>3.6110506418383562E-9</v>
      </c>
      <c r="F29" t="str">
        <f>J29</f>
        <v>Carica</v>
      </c>
      <c r="G29">
        <f>AVERAGE(I22:I26)</f>
        <v>3.1473610018250486E-19</v>
      </c>
      <c r="H29">
        <f>_xlfn.STDEV.S(I22:I26)</f>
        <v>1.2737466851622396E-21</v>
      </c>
      <c r="I29" s="2">
        <f>H29/SQRT(5)</f>
        <v>5.6963683482755803E-22</v>
      </c>
      <c r="J29" t="s">
        <v>33</v>
      </c>
      <c r="K29">
        <f>AVERAGE(M22:M26)</f>
        <v>3.217075290754591E-19</v>
      </c>
      <c r="L29">
        <f>_xlfn.STDEV.S(M22:M26)</f>
        <v>1.1732704292452009E-20</v>
      </c>
      <c r="M29" s="2">
        <f>L29/SQRT(5)</f>
        <v>5.2470248715652531E-21</v>
      </c>
    </row>
    <row r="32" spans="1:13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3.6001802649346206E-9</v>
      </c>
      <c r="E33">
        <v>3.6470008989749427E-9</v>
      </c>
      <c r="F33">
        <v>3.5646529259988911E-9</v>
      </c>
      <c r="G33">
        <v>3.5646529259988894E-9</v>
      </c>
      <c r="H33">
        <v>3.6817176080298484E-9</v>
      </c>
    </row>
    <row r="34" spans="1:13" x14ac:dyDescent="0.25">
      <c r="C34" t="s">
        <v>21</v>
      </c>
      <c r="D34">
        <v>5.2868574672021356E-7</v>
      </c>
      <c r="E34">
        <v>5.2137893602708232E-7</v>
      </c>
      <c r="F34">
        <v>5.343582122273456E-7</v>
      </c>
      <c r="G34">
        <v>5.3435821222734571E-7</v>
      </c>
      <c r="H34">
        <v>5.1608104663133366E-7</v>
      </c>
    </row>
    <row r="35" spans="1:13" x14ac:dyDescent="0.25">
      <c r="A35">
        <v>1</v>
      </c>
      <c r="B35" s="1">
        <f>E22</f>
        <v>3.6001802649346206E-9</v>
      </c>
      <c r="C35">
        <f>D22</f>
        <v>5.2868574672021356E-7</v>
      </c>
      <c r="D35">
        <f t="shared" ref="D35:H39" si="2">($C35-D$34)/SQRT($B35^2+D$33^2)</f>
        <v>0</v>
      </c>
      <c r="E35">
        <f t="shared" si="2"/>
        <v>1.4258199019856976</v>
      </c>
      <c r="F35">
        <f t="shared" si="2"/>
        <v>-1.11963235139943</v>
      </c>
      <c r="G35">
        <f t="shared" si="2"/>
        <v>-1.1196323513994511</v>
      </c>
      <c r="H35">
        <f t="shared" si="2"/>
        <v>2.4477987396944005</v>
      </c>
    </row>
    <row r="36" spans="1:13" x14ac:dyDescent="0.25">
      <c r="A36">
        <v>2</v>
      </c>
      <c r="B36">
        <f>E23</f>
        <v>3.6470008989749427E-9</v>
      </c>
      <c r="C36">
        <f>D23</f>
        <v>5.2137893602708232E-7</v>
      </c>
      <c r="D36">
        <f t="shared" si="2"/>
        <v>-1.4258199019856976</v>
      </c>
      <c r="E36">
        <f t="shared" si="2"/>
        <v>0</v>
      </c>
      <c r="F36">
        <f t="shared" si="2"/>
        <v>-2.5450849877849717</v>
      </c>
      <c r="G36">
        <f t="shared" si="2"/>
        <v>-2.5450849877849935</v>
      </c>
      <c r="H36">
        <f t="shared" si="2"/>
        <v>1.022315561157852</v>
      </c>
    </row>
    <row r="37" spans="1:13" x14ac:dyDescent="0.25">
      <c r="A37">
        <v>3</v>
      </c>
      <c r="B37">
        <f>E24</f>
        <v>3.5646529259988911E-9</v>
      </c>
      <c r="C37">
        <f>D24</f>
        <v>5.343582122273456E-7</v>
      </c>
      <c r="D37">
        <f t="shared" si="2"/>
        <v>1.11963235139943</v>
      </c>
      <c r="E37">
        <f t="shared" si="2"/>
        <v>2.5450849877849717</v>
      </c>
      <c r="F37">
        <f t="shared" si="2"/>
        <v>0</v>
      </c>
      <c r="G37">
        <f t="shared" si="2"/>
        <v>-2.1002842118356681E-14</v>
      </c>
      <c r="H37">
        <f t="shared" si="2"/>
        <v>3.5665362539576511</v>
      </c>
    </row>
    <row r="38" spans="1:13" x14ac:dyDescent="0.25">
      <c r="A38">
        <v>4</v>
      </c>
      <c r="B38">
        <f>E25</f>
        <v>3.5646529259988894E-9</v>
      </c>
      <c r="C38">
        <f>D25</f>
        <v>5.3435821222734571E-7</v>
      </c>
      <c r="D38">
        <f t="shared" si="2"/>
        <v>1.1196323513994511</v>
      </c>
      <c r="E38">
        <f t="shared" si="2"/>
        <v>2.5450849877849935</v>
      </c>
      <c r="F38">
        <f t="shared" si="2"/>
        <v>2.1002842118356681E-14</v>
      </c>
      <c r="G38">
        <f t="shared" si="2"/>
        <v>0</v>
      </c>
      <c r="H38">
        <f t="shared" si="2"/>
        <v>3.5665362539576724</v>
      </c>
    </row>
    <row r="39" spans="1:13" x14ac:dyDescent="0.25">
      <c r="A39">
        <v>5</v>
      </c>
      <c r="B39">
        <f>E26</f>
        <v>3.6817176080298484E-9</v>
      </c>
      <c r="C39">
        <f>D26</f>
        <v>5.1608104663133366E-7</v>
      </c>
      <c r="D39">
        <f t="shared" si="2"/>
        <v>-2.4477987396944005</v>
      </c>
      <c r="E39">
        <f t="shared" si="2"/>
        <v>-1.022315561157852</v>
      </c>
      <c r="F39">
        <f t="shared" si="2"/>
        <v>-3.5665362539576511</v>
      </c>
      <c r="G39">
        <f t="shared" si="2"/>
        <v>-3.5665362539576724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1.2737466851622396E-21</v>
      </c>
      <c r="E42">
        <v>1.2737466851622396E-21</v>
      </c>
      <c r="F42">
        <v>1.2737466851622396E-21</v>
      </c>
      <c r="G42">
        <v>1.2737466851622396E-21</v>
      </c>
      <c r="H42">
        <v>1.2737466851622396E-21</v>
      </c>
      <c r="I42">
        <v>1.1732704292452009E-20</v>
      </c>
      <c r="J42">
        <v>1.1732704292452009E-20</v>
      </c>
      <c r="K42">
        <v>1.1732704292452009E-20</v>
      </c>
      <c r="L42">
        <v>1.1732704292452009E-20</v>
      </c>
      <c r="M42">
        <v>1.1732704292452009E-20</v>
      </c>
    </row>
    <row r="43" spans="1:13" x14ac:dyDescent="0.25">
      <c r="C43" t="s">
        <v>35</v>
      </c>
      <c r="D43">
        <v>3.1654779217296025E-19</v>
      </c>
      <c r="E43">
        <v>3.1472917210605958E-19</v>
      </c>
      <c r="F43">
        <v>3.1472917210605953E-19</v>
      </c>
      <c r="G43">
        <v>3.1294519242138558E-19</v>
      </c>
      <c r="H43">
        <v>3.1472917210605958E-19</v>
      </c>
      <c r="I43">
        <v>3.2563655889261418E-19</v>
      </c>
      <c r="J43">
        <v>3.1534001652652546E-19</v>
      </c>
      <c r="K43">
        <v>3.0550109826559619E-19</v>
      </c>
      <c r="L43">
        <v>3.3642341279994535E-19</v>
      </c>
      <c r="M43">
        <v>3.2563655889261408E-19</v>
      </c>
    </row>
    <row r="44" spans="1:13" x14ac:dyDescent="0.25">
      <c r="A44">
        <v>1</v>
      </c>
      <c r="B44">
        <f>$H$29</f>
        <v>1.2737466851622396E-21</v>
      </c>
      <c r="C44" s="1">
        <f>I22</f>
        <v>3.1654779217296025E-19</v>
      </c>
      <c r="D44">
        <f>($C44-D$43)/SQRT($B44^2+D$42^2)</f>
        <v>0</v>
      </c>
      <c r="E44">
        <f t="shared" ref="E44:M44" si="3">($C44-E$43)/SQRT($B44^2+E$42^2)</f>
        <v>1.0095873823951125</v>
      </c>
      <c r="F44">
        <f t="shared" si="3"/>
        <v>1.0095873823951393</v>
      </c>
      <c r="G44">
        <f t="shared" si="3"/>
        <v>1.9999445289350837</v>
      </c>
      <c r="H44">
        <f t="shared" si="3"/>
        <v>1.0095873823951125</v>
      </c>
      <c r="I44">
        <f t="shared" si="3"/>
        <v>-0.77012722867845051</v>
      </c>
      <c r="J44">
        <f t="shared" si="3"/>
        <v>0.10233961770003139</v>
      </c>
      <c r="K44">
        <f t="shared" si="3"/>
        <v>0.9360301597950289</v>
      </c>
      <c r="L44">
        <f t="shared" si="3"/>
        <v>-1.6841401153606799</v>
      </c>
      <c r="M44">
        <f t="shared" si="3"/>
        <v>-0.7701272286784423</v>
      </c>
    </row>
    <row r="45" spans="1:13" x14ac:dyDescent="0.25">
      <c r="A45">
        <v>2</v>
      </c>
      <c r="B45">
        <f t="shared" ref="B45:B48" si="4">$H$29</f>
        <v>1.2737466851622396E-21</v>
      </c>
      <c r="C45" s="1">
        <f t="shared" ref="C45:C48" si="5">I23</f>
        <v>3.1472917210605958E-19</v>
      </c>
      <c r="D45">
        <f t="shared" ref="D45:M53" si="6">($C45-D$43)/SQRT($B45^2+D$42^2)</f>
        <v>-1.0095873823951125</v>
      </c>
      <c r="E45">
        <f t="shared" si="6"/>
        <v>0</v>
      </c>
      <c r="F45">
        <f t="shared" si="6"/>
        <v>2.6728982686086144E-14</v>
      </c>
      <c r="G45">
        <f t="shared" si="6"/>
        <v>0.99035714653997109</v>
      </c>
      <c r="H45">
        <f t="shared" si="6"/>
        <v>0</v>
      </c>
      <c r="I45">
        <f t="shared" si="6"/>
        <v>-0.92422611528674936</v>
      </c>
      <c r="J45">
        <f t="shared" si="6"/>
        <v>-5.1759268908267479E-2</v>
      </c>
      <c r="K45">
        <f t="shared" si="6"/>
        <v>0.78193127318673006</v>
      </c>
      <c r="L45">
        <f t="shared" si="6"/>
        <v>-1.8382390019689787</v>
      </c>
      <c r="M45">
        <f t="shared" si="6"/>
        <v>-0.92422611528674126</v>
      </c>
    </row>
    <row r="46" spans="1:13" x14ac:dyDescent="0.25">
      <c r="A46">
        <v>3</v>
      </c>
      <c r="B46">
        <f t="shared" si="4"/>
        <v>1.2737466851622396E-21</v>
      </c>
      <c r="C46" s="1">
        <f t="shared" si="5"/>
        <v>3.1472917210605953E-19</v>
      </c>
      <c r="D46">
        <f t="shared" si="6"/>
        <v>-1.0095873823951393</v>
      </c>
      <c r="E46">
        <f t="shared" si="6"/>
        <v>-2.6728982686086144E-14</v>
      </c>
      <c r="F46">
        <f t="shared" si="6"/>
        <v>0</v>
      </c>
      <c r="G46">
        <f t="shared" si="6"/>
        <v>0.99035714653994433</v>
      </c>
      <c r="H46">
        <f t="shared" si="6"/>
        <v>-2.6728982686086144E-14</v>
      </c>
      <c r="I46">
        <f t="shared" si="6"/>
        <v>-0.92422611528675347</v>
      </c>
      <c r="J46">
        <f t="shared" si="6"/>
        <v>-5.1759268908271559E-2</v>
      </c>
      <c r="K46">
        <f t="shared" si="6"/>
        <v>0.78193127318672595</v>
      </c>
      <c r="L46">
        <f t="shared" si="6"/>
        <v>-1.8382390019689829</v>
      </c>
      <c r="M46">
        <f t="shared" si="6"/>
        <v>-0.92422611528674525</v>
      </c>
    </row>
    <row r="47" spans="1:13" x14ac:dyDescent="0.25">
      <c r="A47">
        <v>4</v>
      </c>
      <c r="B47">
        <f t="shared" si="4"/>
        <v>1.2737466851622396E-21</v>
      </c>
      <c r="C47" s="1">
        <f t="shared" si="5"/>
        <v>3.1294519242138558E-19</v>
      </c>
      <c r="D47">
        <f t="shared" si="6"/>
        <v>-1.9999445289350837</v>
      </c>
      <c r="E47">
        <f t="shared" si="6"/>
        <v>-0.99035714653997109</v>
      </c>
      <c r="F47">
        <f t="shared" si="6"/>
        <v>-0.99035714653994433</v>
      </c>
      <c r="G47">
        <f t="shared" si="6"/>
        <v>0</v>
      </c>
      <c r="H47">
        <f t="shared" si="6"/>
        <v>-0.99035714653997109</v>
      </c>
      <c r="I47">
        <f t="shared" si="6"/>
        <v>-1.0753897850072718</v>
      </c>
      <c r="J47">
        <f t="shared" si="6"/>
        <v>-0.20292293862878977</v>
      </c>
      <c r="K47">
        <f t="shared" si="6"/>
        <v>0.63076760346620775</v>
      </c>
      <c r="L47">
        <f t="shared" si="6"/>
        <v>-1.989402671689501</v>
      </c>
      <c r="M47">
        <f t="shared" si="6"/>
        <v>-1.0753897850072636</v>
      </c>
    </row>
    <row r="48" spans="1:13" x14ac:dyDescent="0.25">
      <c r="A48">
        <v>5</v>
      </c>
      <c r="B48">
        <f t="shared" si="4"/>
        <v>1.2737466851622396E-21</v>
      </c>
      <c r="C48" s="1">
        <f t="shared" si="5"/>
        <v>3.1472917210605958E-19</v>
      </c>
      <c r="D48">
        <f t="shared" si="6"/>
        <v>-1.0095873823951125</v>
      </c>
      <c r="E48">
        <f t="shared" si="6"/>
        <v>0</v>
      </c>
      <c r="F48">
        <f t="shared" si="6"/>
        <v>2.6728982686086144E-14</v>
      </c>
      <c r="G48">
        <f t="shared" si="6"/>
        <v>0.99035714653997109</v>
      </c>
      <c r="H48">
        <f t="shared" si="6"/>
        <v>0</v>
      </c>
      <c r="I48">
        <f t="shared" si="6"/>
        <v>-0.92422611528674936</v>
      </c>
      <c r="J48">
        <f t="shared" si="6"/>
        <v>-5.1759268908267479E-2</v>
      </c>
      <c r="K48">
        <f t="shared" si="6"/>
        <v>0.78193127318673006</v>
      </c>
      <c r="L48">
        <f t="shared" si="6"/>
        <v>-1.8382390019689787</v>
      </c>
      <c r="M48">
        <f t="shared" si="6"/>
        <v>-0.92422611528674126</v>
      </c>
    </row>
    <row r="49" spans="1:13" x14ac:dyDescent="0.25">
      <c r="A49">
        <v>6</v>
      </c>
      <c r="B49">
        <f>$L$29</f>
        <v>1.1732704292452009E-20</v>
      </c>
      <c r="C49" s="1">
        <f>M22</f>
        <v>3.2563655889261418E-19</v>
      </c>
      <c r="D49">
        <f t="shared" si="6"/>
        <v>0.77012722867845051</v>
      </c>
      <c r="E49">
        <f t="shared" si="6"/>
        <v>0.92422611528674936</v>
      </c>
      <c r="F49">
        <f t="shared" si="6"/>
        <v>0.92422611528675347</v>
      </c>
      <c r="G49">
        <f t="shared" si="6"/>
        <v>1.0753897850072718</v>
      </c>
      <c r="H49">
        <f t="shared" si="6"/>
        <v>0.92422611528674936</v>
      </c>
      <c r="I49">
        <f t="shared" si="6"/>
        <v>0</v>
      </c>
      <c r="J49">
        <f t="shared" si="6"/>
        <v>0.62055215475939662</v>
      </c>
      <c r="K49">
        <f t="shared" si="6"/>
        <v>1.2135242137517115</v>
      </c>
      <c r="L49">
        <f t="shared" si="6"/>
        <v>-0.65010225736699423</v>
      </c>
      <c r="M49">
        <f t="shared" si="6"/>
        <v>5.8035985985027974E-15</v>
      </c>
    </row>
    <row r="50" spans="1:13" x14ac:dyDescent="0.25">
      <c r="A50">
        <v>7</v>
      </c>
      <c r="B50">
        <f t="shared" ref="B50:B53" si="7">$L$29</f>
        <v>1.1732704292452009E-20</v>
      </c>
      <c r="C50" s="1">
        <f t="shared" ref="C50:C53" si="8">M23</f>
        <v>3.1534001652652546E-19</v>
      </c>
      <c r="D50">
        <f t="shared" si="6"/>
        <v>-0.10233961770003139</v>
      </c>
      <c r="E50">
        <f t="shared" si="6"/>
        <v>5.1759268908267479E-2</v>
      </c>
      <c r="F50">
        <f t="shared" si="6"/>
        <v>5.1759268908271559E-2</v>
      </c>
      <c r="G50">
        <f t="shared" si="6"/>
        <v>0.20292293862878977</v>
      </c>
      <c r="H50">
        <f t="shared" si="6"/>
        <v>5.1759268908267479E-2</v>
      </c>
      <c r="I50">
        <f t="shared" si="6"/>
        <v>-0.62055215475939662</v>
      </c>
      <c r="J50">
        <f t="shared" si="6"/>
        <v>0</v>
      </c>
      <c r="K50">
        <f t="shared" si="6"/>
        <v>0.59297205899231498</v>
      </c>
      <c r="L50">
        <f t="shared" si="6"/>
        <v>-1.2706544121263907</v>
      </c>
      <c r="M50">
        <f t="shared" si="6"/>
        <v>-0.62055215475939074</v>
      </c>
    </row>
    <row r="51" spans="1:13" x14ac:dyDescent="0.25">
      <c r="A51">
        <v>8</v>
      </c>
      <c r="B51">
        <f t="shared" si="7"/>
        <v>1.1732704292452009E-20</v>
      </c>
      <c r="C51" s="1">
        <f t="shared" si="8"/>
        <v>3.0550109826559619E-19</v>
      </c>
      <c r="D51">
        <f t="shared" si="6"/>
        <v>-0.9360301597950289</v>
      </c>
      <c r="E51">
        <f t="shared" si="6"/>
        <v>-0.78193127318673006</v>
      </c>
      <c r="F51">
        <f t="shared" si="6"/>
        <v>-0.78193127318672595</v>
      </c>
      <c r="G51">
        <f t="shared" si="6"/>
        <v>-0.63076760346620775</v>
      </c>
      <c r="H51">
        <f t="shared" si="6"/>
        <v>-0.78193127318673006</v>
      </c>
      <c r="I51">
        <f t="shared" si="6"/>
        <v>-1.2135242137517115</v>
      </c>
      <c r="J51">
        <f t="shared" si="6"/>
        <v>-0.59297205899231498</v>
      </c>
      <c r="K51">
        <f t="shared" si="6"/>
        <v>0</v>
      </c>
      <c r="L51">
        <f t="shared" si="6"/>
        <v>-1.8636264711187058</v>
      </c>
      <c r="M51">
        <f t="shared" si="6"/>
        <v>-1.2135242137517057</v>
      </c>
    </row>
    <row r="52" spans="1:13" x14ac:dyDescent="0.25">
      <c r="A52">
        <v>9</v>
      </c>
      <c r="B52">
        <f t="shared" si="7"/>
        <v>1.1732704292452009E-20</v>
      </c>
      <c r="C52" s="1">
        <f t="shared" si="8"/>
        <v>3.3642341279994535E-19</v>
      </c>
      <c r="D52">
        <f t="shared" si="6"/>
        <v>1.6841401153606799</v>
      </c>
      <c r="E52">
        <f t="shared" si="6"/>
        <v>1.8382390019689787</v>
      </c>
      <c r="F52">
        <f t="shared" si="6"/>
        <v>1.8382390019689829</v>
      </c>
      <c r="G52">
        <f t="shared" si="6"/>
        <v>1.989402671689501</v>
      </c>
      <c r="H52">
        <f t="shared" si="6"/>
        <v>1.8382390019689787</v>
      </c>
      <c r="I52">
        <f t="shared" si="6"/>
        <v>0.65010225736699423</v>
      </c>
      <c r="J52">
        <f t="shared" si="6"/>
        <v>1.2706544121263907</v>
      </c>
      <c r="K52">
        <f t="shared" si="6"/>
        <v>1.8636264711187058</v>
      </c>
      <c r="L52">
        <f t="shared" si="6"/>
        <v>0</v>
      </c>
      <c r="M52">
        <f t="shared" si="6"/>
        <v>0.650102257367</v>
      </c>
    </row>
    <row r="53" spans="1:13" x14ac:dyDescent="0.25">
      <c r="A53">
        <v>10</v>
      </c>
      <c r="B53">
        <f t="shared" si="7"/>
        <v>1.1732704292452009E-20</v>
      </c>
      <c r="C53" s="1">
        <f t="shared" si="8"/>
        <v>3.2563655889261408E-19</v>
      </c>
      <c r="D53">
        <f t="shared" si="6"/>
        <v>0.7701272286784423</v>
      </c>
      <c r="E53">
        <f t="shared" si="6"/>
        <v>0.92422611528674126</v>
      </c>
      <c r="F53">
        <f t="shared" si="6"/>
        <v>0.92422611528674525</v>
      </c>
      <c r="G53">
        <f t="shared" si="6"/>
        <v>1.0753897850072636</v>
      </c>
      <c r="H53">
        <f t="shared" si="6"/>
        <v>0.92422611528674126</v>
      </c>
      <c r="I53">
        <f t="shared" si="6"/>
        <v>-5.8035985985027974E-15</v>
      </c>
      <c r="J53">
        <f t="shared" si="6"/>
        <v>0.62055215475939074</v>
      </c>
      <c r="K53">
        <f t="shared" si="6"/>
        <v>1.2135242137517057</v>
      </c>
      <c r="L53">
        <f t="shared" si="6"/>
        <v>-0.650102257367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68" priority="1" operator="greaterThan">
      <formula>1.96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3" workbookViewId="0">
      <selection activeCell="G21" sqref="G21:Q2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  <col min="10" max="10" width="11.5703125" customWidth="1"/>
    <col min="15" max="15" width="11.425781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1.8238250000000001E-5</v>
      </c>
    </row>
    <row r="17" spans="1:17" x14ac:dyDescent="0.25">
      <c r="A17" t="s">
        <v>23</v>
      </c>
      <c r="B17">
        <v>2.29</v>
      </c>
      <c r="D17" t="s">
        <v>1</v>
      </c>
      <c r="E17" s="2">
        <f>E16/(1+$B$10/($B$7*B29))</f>
        <v>1.6132331826797404E-5</v>
      </c>
    </row>
    <row r="18" spans="1:17" x14ac:dyDescent="0.25">
      <c r="A18" t="s">
        <v>24</v>
      </c>
      <c r="B18">
        <v>20</v>
      </c>
      <c r="D18" t="s">
        <v>32</v>
      </c>
      <c r="E18" s="1">
        <f>B16/B5</f>
        <v>40915.208613728122</v>
      </c>
    </row>
    <row r="20" spans="1:17" x14ac:dyDescent="0.25">
      <c r="A20" t="s">
        <v>7</v>
      </c>
      <c r="B20">
        <v>1</v>
      </c>
      <c r="O20" s="6"/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s="11" t="s">
        <v>18</v>
      </c>
      <c r="H21" s="11" t="s">
        <v>39</v>
      </c>
      <c r="I21" s="11" t="s">
        <v>20</v>
      </c>
      <c r="J21" s="11" t="s">
        <v>22</v>
      </c>
      <c r="K21" s="11" t="s">
        <v>7</v>
      </c>
      <c r="L21" s="11"/>
      <c r="M21" s="11" t="s">
        <v>38</v>
      </c>
      <c r="N21" s="11"/>
      <c r="O21" s="11" t="s">
        <v>20</v>
      </c>
      <c r="P21" s="11" t="s">
        <v>22</v>
      </c>
      <c r="Q21" s="13"/>
    </row>
    <row r="22" spans="1:17" x14ac:dyDescent="0.25">
      <c r="A22">
        <v>1</v>
      </c>
      <c r="B22">
        <v>12.8</v>
      </c>
      <c r="C22" s="1">
        <f>B12/B22</f>
        <v>3.9062500000000001E-5</v>
      </c>
      <c r="D22">
        <f>(($B$10/(2*$B$7))^2+9*E16*C22/(2*$B$6*($B$9-$B$8)))^(1/2)-$B$10/(2*$B$7)</f>
        <v>5.7789844826097423E-7</v>
      </c>
      <c r="E22" s="1">
        <f>(D22+$B$10/(2*$B$7))^(-1)*9*E16/(2*$B$6*($B$9-$B$8))*1/2*C28</f>
        <v>5.29373558083905E-8</v>
      </c>
      <c r="F22" s="1"/>
      <c r="G22" s="11">
        <v>61.69</v>
      </c>
      <c r="H22" s="11">
        <f>G22-B26</f>
        <v>1.7100000000000009</v>
      </c>
      <c r="I22" s="12">
        <f>$B$12/(G22-B26)</f>
        <v>2.9239766081871329E-4</v>
      </c>
      <c r="J22" s="12">
        <f>(4*PI()/3)*B29^3*($B$9-$B$8)*($B$6/E18)*(1+ABS(I22)/B28)</f>
        <v>1.5236653275269429E-18</v>
      </c>
      <c r="K22" s="13">
        <f>J22/$B$11</f>
        <v>9.5099710512998428</v>
      </c>
      <c r="L22" s="11"/>
      <c r="M22" s="11">
        <v>67.819999999999993</v>
      </c>
      <c r="N22" s="11">
        <f>M22-G26</f>
        <v>1.039999999999992</v>
      </c>
      <c r="O22" s="12">
        <f>B12/(M22-G26)</f>
        <v>4.8076923076923448E-4</v>
      </c>
      <c r="P22" s="12">
        <f>-(4*PI()/3)*B29^3*($B$9-$B$8)*($B$6/$E$18)*(1-ABS(O22)/B28)</f>
        <v>1.9621381235617542E-18</v>
      </c>
      <c r="Q22" s="13">
        <f>P22/$B$11</f>
        <v>12.246703010569172</v>
      </c>
    </row>
    <row r="23" spans="1:17" x14ac:dyDescent="0.25">
      <c r="A23">
        <v>2</v>
      </c>
      <c r="B23" s="11">
        <v>20.170000000000002</v>
      </c>
      <c r="C23" s="12">
        <f>$B$12/(B23-B22)</f>
        <v>6.7842605156037984E-5</v>
      </c>
      <c r="D23" s="11">
        <f>(($B$10/(2*$B$7))^2+9*E16*C23/(2*$B$6*($B$9-$B$8)))^(1/2)-$B$10/(2*$B$7)</f>
        <v>7.7371428461082599E-7</v>
      </c>
      <c r="E23" s="12"/>
      <c r="F23" s="1"/>
      <c r="G23" s="11">
        <v>62.33</v>
      </c>
      <c r="H23" s="11">
        <f>G23-G22</f>
        <v>0.64000000000000057</v>
      </c>
      <c r="I23" s="12">
        <f>$B$12/(G23-G22)</f>
        <v>7.8124999999999928E-4</v>
      </c>
      <c r="J23" s="12">
        <f>(4*PI()/3)*B29^3*($B$9-$B$8)*($B$6/E18)*(1+ABS(I23)/B28)</f>
        <v>3.7276437822834661E-18</v>
      </c>
      <c r="K23" s="13">
        <f t="shared" ref="K23:K26" si="0">J23/$B$11</f>
        <v>23.266122696781494</v>
      </c>
      <c r="L23" s="11"/>
      <c r="M23" s="11">
        <v>68.650000000000006</v>
      </c>
      <c r="N23" s="11">
        <f>M23-M22</f>
        <v>0.83000000000001251</v>
      </c>
      <c r="O23" s="12">
        <f>$B$12/(M23-M22)</f>
        <v>6.0240963855420781E-4</v>
      </c>
      <c r="P23" s="12">
        <f>-(4*PI()/3)*B29^3*($B$9-$B$8)*($B$6/$E$18)*(1-ABS(O23)/B28)</f>
        <v>2.510550837378102E-18</v>
      </c>
      <c r="Q23" s="13">
        <f t="shared" ref="Q23:Q26" si="1">P23/$B$11</f>
        <v>15.669625970313447</v>
      </c>
    </row>
    <row r="24" spans="1:17" x14ac:dyDescent="0.25">
      <c r="A24">
        <v>3</v>
      </c>
      <c r="B24">
        <v>30.06</v>
      </c>
      <c r="C24" s="1">
        <f t="shared" ref="C24:C26" si="2">$B$12/(B24-B23)</f>
        <v>5.0556117290192128E-5</v>
      </c>
      <c r="D24">
        <f>(($B$10/(2*$B$7))^2+9*E16*C24/(2*$B$6*($B$9-$B$8)))^(1/2)-$B$10/(2*$B$7)</f>
        <v>6.6267055419642709E-7</v>
      </c>
      <c r="E24" s="1">
        <f>(D24+$B$10/(2*$B$7))^(-1)*9*E16/(2*$B$6*($B$9-$B$8))*1/2*C28</f>
        <v>4.6555060926171403E-8</v>
      </c>
      <c r="F24" s="1"/>
      <c r="G24" s="11">
        <v>63.13</v>
      </c>
      <c r="H24" s="11">
        <f t="shared" ref="H24:H26" si="3">G24-G23</f>
        <v>0.80000000000000426</v>
      </c>
      <c r="I24" s="12">
        <f>$B$12/(G24-G23)</f>
        <v>6.2499999999999665E-4</v>
      </c>
      <c r="J24" s="12">
        <f>(4*PI()/3)*B29^3*($B$9-$B$8)*($B$6/E18)*(1+ABS(I24)/B28)</f>
        <v>3.0231945939407138E-18</v>
      </c>
      <c r="K24" s="13">
        <f t="shared" si="0"/>
        <v>18.869296656823725</v>
      </c>
      <c r="L24" s="11"/>
      <c r="M24" s="11">
        <v>69.44</v>
      </c>
      <c r="N24" s="11">
        <f t="shared" ref="N24:N26" si="4">M24-M23</f>
        <v>0.78999999999999204</v>
      </c>
      <c r="O24" s="12">
        <f>$B$12/(M24-M23)</f>
        <v>6.329113924050697E-4</v>
      </c>
      <c r="P24" s="12">
        <f>-(4*PI()/3)*B29^3*($B$9-$B$8)*($B$6/E18)*(1-ABS(O24)/B28)</f>
        <v>2.6480672261350282E-18</v>
      </c>
      <c r="Q24" s="13">
        <f t="shared" si="1"/>
        <v>16.527935766126884</v>
      </c>
    </row>
    <row r="25" spans="1:17" x14ac:dyDescent="0.25">
      <c r="A25">
        <v>4</v>
      </c>
      <c r="B25">
        <v>41.69</v>
      </c>
      <c r="C25" s="1">
        <f t="shared" si="2"/>
        <v>4.2992261392949275E-5</v>
      </c>
      <c r="D25">
        <f>(($B$10/(2*$B$7))^2+9*E16*C25/(2*$B$6*($B$9-$B$8)))^(1/2)-$B$10/(2*$B$7)</f>
        <v>6.0813044074815428E-7</v>
      </c>
      <c r="E25" s="1">
        <f>(D25+$B$10/(2*$B$7))^(-1)*9*E16/(2*$B$6*($B$9-$B$8))*1/2*C28</f>
        <v>5.046986302251675E-8</v>
      </c>
      <c r="F25" s="1"/>
      <c r="G25" s="11">
        <v>64.150000000000006</v>
      </c>
      <c r="H25" s="11">
        <f t="shared" si="3"/>
        <v>1.0200000000000031</v>
      </c>
      <c r="I25" s="12">
        <f>$B$12/(G25-G24)</f>
        <v>4.9019607843137102E-4</v>
      </c>
      <c r="J25" s="12">
        <f>(4*PI()/3)*B29^3*($B$9-$B$8)*($B$6/E18)*(1+ABS(I25)/B28)</f>
        <v>2.4154345098803191E-18</v>
      </c>
      <c r="K25" s="13">
        <f t="shared" si="0"/>
        <v>15.075956543919103</v>
      </c>
      <c r="L25" s="11"/>
      <c r="M25" s="11">
        <v>70.099999999999994</v>
      </c>
      <c r="N25" s="11">
        <f t="shared" si="4"/>
        <v>0.65999999999999659</v>
      </c>
      <c r="O25" s="12">
        <f>$B$12/(M25-M24)</f>
        <v>7.5757575757576148E-4</v>
      </c>
      <c r="P25" s="12">
        <f>-(4*PI()/3)*B29^3*($B$9-$B$8)*($B$6/E18)*(1-ABS(O25)/B28)</f>
        <v>3.210113375637471E-18</v>
      </c>
      <c r="Q25" s="13">
        <f t="shared" si="1"/>
        <v>20.03595193916555</v>
      </c>
    </row>
    <row r="26" spans="1:17" x14ac:dyDescent="0.25">
      <c r="A26">
        <v>5</v>
      </c>
      <c r="B26">
        <v>59.98</v>
      </c>
      <c r="C26" s="1">
        <f t="shared" si="2"/>
        <v>2.7337342810278844E-5</v>
      </c>
      <c r="D26">
        <f>(($B$10/(2*$B$7))^2+9*E16*C26/(2*$B$6*($B$9-$B$8)))^(1/2)-$B$10/(2*$B$7)</f>
        <v>4.7730936201059357E-7</v>
      </c>
      <c r="E26" s="1">
        <f>(D26+$B$10/(2*$B$7))^(-1)*9*E16/(2*$B$6*($B$9-$B$8))*1/2*C28</f>
        <v>6.3221627155931862E-8</v>
      </c>
      <c r="F26" s="1"/>
      <c r="G26" s="11">
        <v>66.78</v>
      </c>
      <c r="H26" s="11">
        <f t="shared" si="3"/>
        <v>2.6299999999999955</v>
      </c>
      <c r="I26" s="12">
        <f>$B$12/(G26-G25)</f>
        <v>1.9011406844106498E-4</v>
      </c>
      <c r="J26" s="12">
        <f>(4*PI()/3)*B29^3*($B$9-$B$8)*($B$6/E18)*(1+ABS(I26)/B28)</f>
        <v>1.0625223282871733E-18</v>
      </c>
      <c r="K26" s="13">
        <f t="shared" si="0"/>
        <v>6.6317428117704855</v>
      </c>
      <c r="L26" s="11"/>
      <c r="M26" s="11">
        <v>70.81</v>
      </c>
      <c r="N26" s="11">
        <f t="shared" si="4"/>
        <v>0.71000000000000796</v>
      </c>
      <c r="O26" s="12">
        <f>$B$12/(M26-M25)</f>
        <v>7.0422535211266818E-4</v>
      </c>
      <c r="P26" s="12">
        <f>-(4*PI()/3)*B29^3*($B$9-$B$8)*($B$6/E18)*(1-ABS(O26)/B28)</f>
        <v>2.9695844167495857E-18</v>
      </c>
      <c r="Q26" s="13">
        <f t="shared" si="1"/>
        <v>18.534688246478005</v>
      </c>
    </row>
    <row r="27" spans="1:17" x14ac:dyDescent="0.25">
      <c r="B27" s="1" t="s">
        <v>28</v>
      </c>
      <c r="C27" s="1" t="s">
        <v>34</v>
      </c>
      <c r="D27" t="s">
        <v>30</v>
      </c>
      <c r="G27" s="12" t="s">
        <v>28</v>
      </c>
      <c r="H27" s="12" t="s">
        <v>29</v>
      </c>
      <c r="I27" s="11" t="s">
        <v>34</v>
      </c>
      <c r="J27" s="13"/>
      <c r="K27" s="11"/>
      <c r="L27" s="12" t="s">
        <v>28</v>
      </c>
      <c r="M27" s="12" t="s">
        <v>29</v>
      </c>
      <c r="N27" s="11" t="s">
        <v>34</v>
      </c>
      <c r="O27" s="13"/>
      <c r="P27" s="11"/>
      <c r="Q27" s="11"/>
    </row>
    <row r="28" spans="1:17" x14ac:dyDescent="0.25">
      <c r="A28" t="s">
        <v>27</v>
      </c>
      <c r="B28" s="1">
        <f>AVERAGE(C22:C26)</f>
        <v>4.5558165329891643E-5</v>
      </c>
      <c r="C28" s="1">
        <f>_xlfn.STDEV.S(C22:C26)/SQRT(COUNT(C22:C26))</f>
        <v>6.7169624330697657E-6</v>
      </c>
      <c r="F28" t="str">
        <f>K28</f>
        <v>Velocità</v>
      </c>
      <c r="G28" s="12">
        <f>AVERAGE(I22:I26)</f>
        <v>4.7579156153822899E-4</v>
      </c>
      <c r="H28" s="12">
        <f>_xlfn.STDEV.S(I22:I26)</f>
        <v>2.4032293831739555E-4</v>
      </c>
      <c r="I28" s="16">
        <f>H28/SQRT(5)</f>
        <v>1.0747568532603707E-4</v>
      </c>
      <c r="J28" s="13"/>
      <c r="K28" s="11" t="s">
        <v>27</v>
      </c>
      <c r="L28" s="12">
        <f>AVERAGE(O22:O26)</f>
        <v>6.3557827428338835E-4</v>
      </c>
      <c r="M28" s="12">
        <f>_xlfn.STDEV.S(O22:O26)</f>
        <v>1.0567511276670967E-4</v>
      </c>
      <c r="N28" s="16">
        <f>M28/SQRT(5)</f>
        <v>4.725934713526374E-5</v>
      </c>
      <c r="O28" s="13"/>
      <c r="P28" s="11"/>
      <c r="Q28" s="11"/>
    </row>
    <row r="29" spans="1:17" x14ac:dyDescent="0.25">
      <c r="A29" t="s">
        <v>5</v>
      </c>
      <c r="B29">
        <f>AVERAGE(D22:D26)</f>
        <v>6.1994461796539495E-7</v>
      </c>
      <c r="C29">
        <f>_xlfn.STDEV.S(D22:D26)/SQRT(COUNT(D22:D26))</f>
        <v>4.8848176741046452E-8</v>
      </c>
      <c r="D29" s="1">
        <f>(B29+$B$10/(2*$B$7))^(-1)*9*E16/(2*$B$6*($B$9-$B$8))*1/2*C28</f>
        <v>4.9566997703176199E-8</v>
      </c>
      <c r="F29" t="str">
        <f>K29</f>
        <v>Carica</v>
      </c>
      <c r="G29" s="11">
        <f>AVERAGE(J22:J26)</f>
        <v>2.3504921083837229E-18</v>
      </c>
      <c r="H29" s="11">
        <f>_xlfn.STDEV.S(J22:J26)</f>
        <v>1.0834899125621224E-18</v>
      </c>
      <c r="I29" s="16">
        <f>H29/SQRT(5)</f>
        <v>4.8455141948484179E-19</v>
      </c>
      <c r="J29" s="16"/>
      <c r="K29" s="11" t="s">
        <v>33</v>
      </c>
      <c r="L29" s="11">
        <f>AVERAGE(P22:P26)</f>
        <v>2.6600907958923881E-18</v>
      </c>
      <c r="M29" s="11">
        <f>_xlfn.STDEV.S(P22:P26)</f>
        <v>4.7643358346583121E-19</v>
      </c>
      <c r="N29" s="16">
        <f>M29/SQRT(5)</f>
        <v>2.1306757587868367E-19</v>
      </c>
      <c r="O29" s="13"/>
      <c r="P29" s="11"/>
      <c r="Q29" s="11"/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5.29373558083905E-8</v>
      </c>
      <c r="E33">
        <v>0</v>
      </c>
      <c r="F33">
        <v>4.6555060926171403E-8</v>
      </c>
      <c r="G33">
        <v>5.046986302251675E-8</v>
      </c>
      <c r="H33">
        <v>6.3221627155931862E-8</v>
      </c>
    </row>
    <row r="34" spans="1:13" x14ac:dyDescent="0.25">
      <c r="C34" t="s">
        <v>21</v>
      </c>
      <c r="D34">
        <v>5.7789844826097423E-7</v>
      </c>
      <c r="E34">
        <v>7.7371428461082599E-7</v>
      </c>
      <c r="F34">
        <v>6.6267055419642709E-7</v>
      </c>
      <c r="G34">
        <v>6.0813044074815428E-7</v>
      </c>
      <c r="H34">
        <v>4.7730936201059357E-7</v>
      </c>
    </row>
    <row r="35" spans="1:13" x14ac:dyDescent="0.25">
      <c r="A35">
        <v>1</v>
      </c>
      <c r="B35" s="1">
        <f>E22</f>
        <v>5.29373558083905E-8</v>
      </c>
      <c r="C35">
        <f>D22</f>
        <v>5.7789844826097423E-7</v>
      </c>
      <c r="D35" s="18">
        <f t="shared" ref="D35:H39" si="5">($C35-D$34)/SQRT($B35^2+D$33^2)</f>
        <v>0</v>
      </c>
      <c r="E35" s="18">
        <f t="shared" si="5"/>
        <v>-3.6990105259245913</v>
      </c>
      <c r="F35" s="18">
        <f t="shared" si="5"/>
        <v>-1.2025032373344606</v>
      </c>
      <c r="G35" s="18">
        <f t="shared" si="5"/>
        <v>-0.41333987582826631</v>
      </c>
      <c r="H35" s="18">
        <f t="shared" si="5"/>
        <v>1.2198812459512369</v>
      </c>
    </row>
    <row r="36" spans="1:13" x14ac:dyDescent="0.25">
      <c r="A36">
        <v>2</v>
      </c>
      <c r="B36">
        <f>E23</f>
        <v>0</v>
      </c>
      <c r="C36">
        <f>D23</f>
        <v>7.7371428461082599E-7</v>
      </c>
      <c r="D36" s="18">
        <f t="shared" si="5"/>
        <v>3.6990105259245913</v>
      </c>
      <c r="E36" s="18" t="e">
        <f t="shared" si="5"/>
        <v>#DIV/0!</v>
      </c>
      <c r="F36" s="18">
        <f t="shared" si="5"/>
        <v>2.3852128684891172</v>
      </c>
      <c r="G36" s="18">
        <f t="shared" si="5"/>
        <v>3.2808459137049315</v>
      </c>
      <c r="H36" s="18">
        <f t="shared" si="5"/>
        <v>4.6883469460406291</v>
      </c>
    </row>
    <row r="37" spans="1:13" x14ac:dyDescent="0.25">
      <c r="A37">
        <v>3</v>
      </c>
      <c r="B37">
        <f>E24</f>
        <v>4.6555060926171403E-8</v>
      </c>
      <c r="C37">
        <f>D24</f>
        <v>6.6267055419642709E-7</v>
      </c>
      <c r="D37" s="18">
        <f t="shared" si="5"/>
        <v>1.2025032373344606</v>
      </c>
      <c r="E37" s="18">
        <f t="shared" si="5"/>
        <v>-2.3852128684891172</v>
      </c>
      <c r="F37" s="18">
        <f t="shared" si="5"/>
        <v>0</v>
      </c>
      <c r="G37" s="18">
        <f t="shared" si="5"/>
        <v>0.79431816918706766</v>
      </c>
      <c r="H37" s="18">
        <f t="shared" si="5"/>
        <v>2.3608872437385471</v>
      </c>
    </row>
    <row r="38" spans="1:13" x14ac:dyDescent="0.25">
      <c r="A38">
        <v>4</v>
      </c>
      <c r="B38">
        <f>E25</f>
        <v>5.046986302251675E-8</v>
      </c>
      <c r="C38">
        <f>D25</f>
        <v>6.0813044074815428E-7</v>
      </c>
      <c r="D38" s="18">
        <f t="shared" si="5"/>
        <v>0.41333987582826631</v>
      </c>
      <c r="E38" s="18">
        <f t="shared" si="5"/>
        <v>-3.2808459137049315</v>
      </c>
      <c r="F38" s="18">
        <f t="shared" si="5"/>
        <v>-0.79431816918706766</v>
      </c>
      <c r="G38" s="18">
        <f t="shared" si="5"/>
        <v>0</v>
      </c>
      <c r="H38" s="18">
        <f t="shared" si="5"/>
        <v>1.6171491155038127</v>
      </c>
    </row>
    <row r="39" spans="1:13" x14ac:dyDescent="0.25">
      <c r="A39">
        <v>5</v>
      </c>
      <c r="B39">
        <f>E26</f>
        <v>6.3221627155931862E-8</v>
      </c>
      <c r="C39">
        <f>D26</f>
        <v>4.7730936201059357E-7</v>
      </c>
      <c r="D39" s="18">
        <f t="shared" si="5"/>
        <v>-1.2198812459512369</v>
      </c>
      <c r="E39" s="18">
        <f t="shared" si="5"/>
        <v>-4.6883469460406291</v>
      </c>
      <c r="F39" s="18">
        <f t="shared" si="5"/>
        <v>-2.3608872437385471</v>
      </c>
      <c r="G39" s="18">
        <f t="shared" si="5"/>
        <v>-1.6171491155038127</v>
      </c>
      <c r="H39" s="18">
        <f t="shared" si="5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1.0834899125621224E-18</v>
      </c>
      <c r="E42">
        <v>1.0834899125621224E-18</v>
      </c>
      <c r="F42">
        <v>1.0834899125621224E-18</v>
      </c>
      <c r="G42">
        <v>1.0834899125621224E-18</v>
      </c>
      <c r="H42">
        <v>1.0834899125621224E-18</v>
      </c>
      <c r="I42">
        <v>4.7643358346583121E-19</v>
      </c>
      <c r="J42">
        <v>4.7643358346583121E-19</v>
      </c>
      <c r="K42">
        <v>4.7643358346583121E-19</v>
      </c>
      <c r="L42">
        <v>4.7643358346583121E-19</v>
      </c>
      <c r="M42">
        <v>4.7643358346583121E-19</v>
      </c>
    </row>
    <row r="43" spans="1:13" x14ac:dyDescent="0.25">
      <c r="C43" t="s">
        <v>35</v>
      </c>
      <c r="D43">
        <v>1.5236653275269429E-18</v>
      </c>
      <c r="E43">
        <v>3.7276437822834661E-18</v>
      </c>
      <c r="F43">
        <v>3.0231945939407138E-18</v>
      </c>
      <c r="G43">
        <v>2.4154345098803191E-18</v>
      </c>
      <c r="H43">
        <v>1.0625223282871733E-18</v>
      </c>
      <c r="I43">
        <v>1.9621381235617542E-18</v>
      </c>
      <c r="J43">
        <v>2.510550837378102E-18</v>
      </c>
      <c r="K43">
        <v>2.6480672261350282E-18</v>
      </c>
      <c r="L43">
        <v>3.210113375637471E-18</v>
      </c>
      <c r="M43">
        <v>2.9695844167495857E-18</v>
      </c>
    </row>
    <row r="44" spans="1:13" x14ac:dyDescent="0.25">
      <c r="A44">
        <v>1</v>
      </c>
      <c r="B44">
        <f>$H$29</f>
        <v>1.0834899125621224E-18</v>
      </c>
      <c r="C44" s="1">
        <f>J22</f>
        <v>1.5236653275269429E-18</v>
      </c>
      <c r="D44">
        <f>($C44-D$43)/SQRT($B44^2+D$42^2)</f>
        <v>0</v>
      </c>
      <c r="E44">
        <f t="shared" ref="E44:M44" si="6">($C44-E$43)/SQRT($B44^2+E$42^2)</f>
        <v>-1.4383595941951437</v>
      </c>
      <c r="F44">
        <f t="shared" si="6"/>
        <v>-0.97862222857388359</v>
      </c>
      <c r="G44">
        <f t="shared" si="6"/>
        <v>-0.58198606999869118</v>
      </c>
      <c r="H44">
        <f t="shared" si="6"/>
        <v>0.30095097155825917</v>
      </c>
      <c r="I44">
        <f t="shared" si="6"/>
        <v>-0.37045288965189438</v>
      </c>
      <c r="J44">
        <f t="shared" si="6"/>
        <v>-0.83379081253405651</v>
      </c>
      <c r="K44">
        <f t="shared" si="6"/>
        <v>-0.94997440259981769</v>
      </c>
      <c r="L44">
        <f t="shared" si="6"/>
        <v>-1.424830818057734</v>
      </c>
      <c r="M44">
        <f t="shared" si="6"/>
        <v>-1.2216149089505597</v>
      </c>
    </row>
    <row r="45" spans="1:13" x14ac:dyDescent="0.25">
      <c r="A45">
        <v>2</v>
      </c>
      <c r="B45">
        <f t="shared" ref="B45:B48" si="7">$H$29</f>
        <v>1.0834899125621224E-18</v>
      </c>
      <c r="C45" s="1">
        <f>J23</f>
        <v>3.7276437822834661E-18</v>
      </c>
      <c r="D45">
        <f t="shared" ref="D45:M53" si="8">($C45-D$43)/SQRT($B45^2+D$42^2)</f>
        <v>1.4383595941951437</v>
      </c>
      <c r="E45">
        <f t="shared" si="8"/>
        <v>0</v>
      </c>
      <c r="F45">
        <f t="shared" si="8"/>
        <v>0.45973736562126011</v>
      </c>
      <c r="G45">
        <f t="shared" si="8"/>
        <v>0.85637352419645241</v>
      </c>
      <c r="H45">
        <f t="shared" si="8"/>
        <v>1.7393105657534029</v>
      </c>
      <c r="I45">
        <f t="shared" si="8"/>
        <v>1.4916242897730514</v>
      </c>
      <c r="J45">
        <f t="shared" si="8"/>
        <v>1.0282863668908893</v>
      </c>
      <c r="K45">
        <f t="shared" si="8"/>
        <v>0.91210277682512819</v>
      </c>
      <c r="L45">
        <f t="shared" si="8"/>
        <v>0.43724636136721173</v>
      </c>
      <c r="M45">
        <f t="shared" si="8"/>
        <v>0.6404622704743862</v>
      </c>
    </row>
    <row r="46" spans="1:13" x14ac:dyDescent="0.25">
      <c r="A46">
        <v>3</v>
      </c>
      <c r="B46">
        <f t="shared" si="7"/>
        <v>1.0834899125621224E-18</v>
      </c>
      <c r="C46" s="1">
        <f>J24</f>
        <v>3.0231945939407138E-18</v>
      </c>
      <c r="D46">
        <f t="shared" si="8"/>
        <v>0.97862222857388359</v>
      </c>
      <c r="E46">
        <f t="shared" si="8"/>
        <v>-0.45973736562126011</v>
      </c>
      <c r="F46">
        <f t="shared" si="8"/>
        <v>0</v>
      </c>
      <c r="G46">
        <f t="shared" si="8"/>
        <v>0.39663615857519235</v>
      </c>
      <c r="H46">
        <f t="shared" si="8"/>
        <v>1.2795732001321427</v>
      </c>
      <c r="I46">
        <f t="shared" si="8"/>
        <v>0.89645569597553432</v>
      </c>
      <c r="J46">
        <f t="shared" si="8"/>
        <v>0.43311777309337213</v>
      </c>
      <c r="K46">
        <f t="shared" si="8"/>
        <v>0.31693418302761101</v>
      </c>
      <c r="L46">
        <f t="shared" si="8"/>
        <v>-0.1579222324303054</v>
      </c>
      <c r="M46">
        <f t="shared" si="8"/>
        <v>4.5293676676869045E-2</v>
      </c>
    </row>
    <row r="47" spans="1:13" x14ac:dyDescent="0.25">
      <c r="A47">
        <v>4</v>
      </c>
      <c r="B47">
        <f t="shared" si="7"/>
        <v>1.0834899125621224E-18</v>
      </c>
      <c r="C47" s="1">
        <f>J25</f>
        <v>2.4154345098803191E-18</v>
      </c>
      <c r="D47">
        <f t="shared" si="8"/>
        <v>0.58198606999869118</v>
      </c>
      <c r="E47">
        <f t="shared" si="8"/>
        <v>-0.85637352419645241</v>
      </c>
      <c r="F47">
        <f t="shared" si="8"/>
        <v>-0.39663615857519235</v>
      </c>
      <c r="G47">
        <f t="shared" si="8"/>
        <v>0</v>
      </c>
      <c r="H47">
        <f t="shared" si="8"/>
        <v>0.88293704155695041</v>
      </c>
      <c r="I47">
        <f t="shared" si="8"/>
        <v>0.38297690916984933</v>
      </c>
      <c r="J47">
        <f t="shared" si="8"/>
        <v>-8.0361013712312829E-2</v>
      </c>
      <c r="K47">
        <f t="shared" si="8"/>
        <v>-0.19654460377807392</v>
      </c>
      <c r="L47">
        <f t="shared" si="8"/>
        <v>-0.67140101923599027</v>
      </c>
      <c r="M47">
        <f t="shared" si="8"/>
        <v>-0.46818511012881586</v>
      </c>
    </row>
    <row r="48" spans="1:13" x14ac:dyDescent="0.25">
      <c r="A48">
        <v>5</v>
      </c>
      <c r="B48">
        <f t="shared" si="7"/>
        <v>1.0834899125621224E-18</v>
      </c>
      <c r="C48" s="1">
        <f>J26</f>
        <v>1.0625223282871733E-18</v>
      </c>
      <c r="D48">
        <f t="shared" si="8"/>
        <v>-0.30095097155825917</v>
      </c>
      <c r="E48">
        <f t="shared" si="8"/>
        <v>-1.7393105657534029</v>
      </c>
      <c r="F48">
        <f t="shared" si="8"/>
        <v>-1.2795732001321427</v>
      </c>
      <c r="G48">
        <f t="shared" si="8"/>
        <v>-0.88293704155695041</v>
      </c>
      <c r="H48">
        <f t="shared" si="8"/>
        <v>0</v>
      </c>
      <c r="I48">
        <f t="shared" si="8"/>
        <v>-0.76005917345325313</v>
      </c>
      <c r="J48">
        <f t="shared" si="8"/>
        <v>-1.2233970963354153</v>
      </c>
      <c r="K48">
        <f t="shared" si="8"/>
        <v>-1.3395806864011763</v>
      </c>
      <c r="L48">
        <f t="shared" si="8"/>
        <v>-1.814437101859093</v>
      </c>
      <c r="M48">
        <f t="shared" si="8"/>
        <v>-1.6112211927519184</v>
      </c>
    </row>
    <row r="49" spans="1:13" x14ac:dyDescent="0.25">
      <c r="A49">
        <v>6</v>
      </c>
      <c r="B49">
        <f>$M$29</f>
        <v>4.7643358346583121E-19</v>
      </c>
      <c r="C49" s="1">
        <f>P22</f>
        <v>1.9621381235617542E-18</v>
      </c>
      <c r="D49">
        <f t="shared" si="8"/>
        <v>0.37045288965189438</v>
      </c>
      <c r="E49">
        <f t="shared" si="8"/>
        <v>-1.4916242897730514</v>
      </c>
      <c r="F49">
        <f t="shared" si="8"/>
        <v>-0.89645569597553432</v>
      </c>
      <c r="G49">
        <f t="shared" si="8"/>
        <v>-0.38297690916984933</v>
      </c>
      <c r="H49">
        <f t="shared" si="8"/>
        <v>0.76005917345325313</v>
      </c>
      <c r="I49">
        <f t="shared" si="8"/>
        <v>0</v>
      </c>
      <c r="J49">
        <f t="shared" si="8"/>
        <v>-0.81393579774014424</v>
      </c>
      <c r="K49">
        <f t="shared" si="8"/>
        <v>-1.0180330200789673</v>
      </c>
      <c r="L49">
        <f t="shared" si="8"/>
        <v>-1.8522031068345497</v>
      </c>
      <c r="M49">
        <f t="shared" si="8"/>
        <v>-1.4952180751243287</v>
      </c>
    </row>
    <row r="50" spans="1:13" x14ac:dyDescent="0.25">
      <c r="A50">
        <v>7</v>
      </c>
      <c r="B50">
        <f t="shared" ref="B50:B53" si="9">$M$29</f>
        <v>4.7643358346583121E-19</v>
      </c>
      <c r="C50" s="1">
        <f t="shared" ref="C50:C53" si="10">P23</f>
        <v>2.510550837378102E-18</v>
      </c>
      <c r="D50">
        <f t="shared" si="8"/>
        <v>0.83379081253405651</v>
      </c>
      <c r="E50">
        <f t="shared" si="8"/>
        <v>-1.0282863668908893</v>
      </c>
      <c r="F50">
        <f t="shared" si="8"/>
        <v>-0.43311777309337213</v>
      </c>
      <c r="G50">
        <f t="shared" si="8"/>
        <v>8.0361013712312829E-2</v>
      </c>
      <c r="H50">
        <f t="shared" si="8"/>
        <v>1.2233970963354153</v>
      </c>
      <c r="I50">
        <f t="shared" si="8"/>
        <v>0.81393579774014424</v>
      </c>
      <c r="J50">
        <f t="shared" si="8"/>
        <v>0</v>
      </c>
      <c r="K50">
        <f t="shared" si="8"/>
        <v>-0.20409722233882316</v>
      </c>
      <c r="L50">
        <f t="shared" si="8"/>
        <v>-1.0382673090944055</v>
      </c>
      <c r="M50">
        <f t="shared" si="8"/>
        <v>-0.68128227738418434</v>
      </c>
    </row>
    <row r="51" spans="1:13" x14ac:dyDescent="0.25">
      <c r="A51">
        <v>8</v>
      </c>
      <c r="B51">
        <f t="shared" si="9"/>
        <v>4.7643358346583121E-19</v>
      </c>
      <c r="C51" s="1">
        <f t="shared" si="10"/>
        <v>2.6480672261350282E-18</v>
      </c>
      <c r="D51">
        <f t="shared" si="8"/>
        <v>0.94997440259981769</v>
      </c>
      <c r="E51">
        <f t="shared" si="8"/>
        <v>-0.91210277682512819</v>
      </c>
      <c r="F51">
        <f t="shared" si="8"/>
        <v>-0.31693418302761101</v>
      </c>
      <c r="G51">
        <f t="shared" si="8"/>
        <v>0.19654460377807392</v>
      </c>
      <c r="H51">
        <f t="shared" si="8"/>
        <v>1.3395806864011763</v>
      </c>
      <c r="I51">
        <f t="shared" si="8"/>
        <v>1.0180330200789673</v>
      </c>
      <c r="J51">
        <f t="shared" si="8"/>
        <v>0.20409722233882316</v>
      </c>
      <c r="K51">
        <f t="shared" si="8"/>
        <v>0</v>
      </c>
      <c r="L51">
        <f t="shared" si="8"/>
        <v>-0.83417008675558235</v>
      </c>
      <c r="M51">
        <f t="shared" si="8"/>
        <v>-0.47718505504536118</v>
      </c>
    </row>
    <row r="52" spans="1:13" x14ac:dyDescent="0.25">
      <c r="A52">
        <v>9</v>
      </c>
      <c r="B52">
        <f t="shared" si="9"/>
        <v>4.7643358346583121E-19</v>
      </c>
      <c r="C52" s="1">
        <f t="shared" si="10"/>
        <v>3.210113375637471E-18</v>
      </c>
      <c r="D52">
        <f t="shared" si="8"/>
        <v>1.424830818057734</v>
      </c>
      <c r="E52">
        <f t="shared" si="8"/>
        <v>-0.43724636136721173</v>
      </c>
      <c r="F52">
        <f t="shared" si="8"/>
        <v>0.1579222324303054</v>
      </c>
      <c r="G52">
        <f t="shared" si="8"/>
        <v>0.67140101923599027</v>
      </c>
      <c r="H52">
        <f t="shared" si="8"/>
        <v>1.814437101859093</v>
      </c>
      <c r="I52">
        <f t="shared" si="8"/>
        <v>1.8522031068345497</v>
      </c>
      <c r="J52">
        <f t="shared" si="8"/>
        <v>1.0382673090944055</v>
      </c>
      <c r="K52">
        <f t="shared" si="8"/>
        <v>0.83417008675558235</v>
      </c>
      <c r="L52">
        <f t="shared" si="8"/>
        <v>0</v>
      </c>
      <c r="M52">
        <f t="shared" si="8"/>
        <v>0.35698503171022117</v>
      </c>
    </row>
    <row r="53" spans="1:13" x14ac:dyDescent="0.25">
      <c r="A53">
        <v>10</v>
      </c>
      <c r="B53">
        <f t="shared" si="9"/>
        <v>4.7643358346583121E-19</v>
      </c>
      <c r="C53" s="1">
        <f t="shared" si="10"/>
        <v>2.9695844167495857E-18</v>
      </c>
      <c r="D53">
        <f t="shared" si="8"/>
        <v>1.2216149089505597</v>
      </c>
      <c r="E53">
        <f t="shared" si="8"/>
        <v>-0.6404622704743862</v>
      </c>
      <c r="F53">
        <f t="shared" si="8"/>
        <v>-4.5293676676869045E-2</v>
      </c>
      <c r="G53">
        <f t="shared" si="8"/>
        <v>0.46818511012881586</v>
      </c>
      <c r="H53">
        <f t="shared" si="8"/>
        <v>1.6112211927519184</v>
      </c>
      <c r="I53">
        <f t="shared" si="8"/>
        <v>1.4952180751243287</v>
      </c>
      <c r="J53">
        <f t="shared" si="8"/>
        <v>0.68128227738418434</v>
      </c>
      <c r="K53">
        <f t="shared" si="8"/>
        <v>0.47718505504536118</v>
      </c>
      <c r="L53">
        <f t="shared" si="8"/>
        <v>-0.35698503171022117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67" priority="2" operator="greaterThan">
      <formula>1.96</formula>
    </cfRule>
  </conditionalFormatting>
  <conditionalFormatting sqref="D35:H39">
    <cfRule type="cellIs" dxfId="66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7" workbookViewId="0">
      <selection activeCell="P24" sqref="P24:P26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17" x14ac:dyDescent="0.25">
      <c r="A1" s="9" t="str">
        <f>Dati!A1</f>
        <v>Costanti varie</v>
      </c>
      <c r="B1" s="9"/>
      <c r="C1" s="9"/>
    </row>
    <row r="2" spans="1:17" x14ac:dyDescent="0.25">
      <c r="A2" s="9"/>
      <c r="B2" s="9"/>
      <c r="C2" s="9"/>
    </row>
    <row r="4" spans="1:17" x14ac:dyDescent="0.25">
      <c r="B4" t="s">
        <v>12</v>
      </c>
      <c r="C4" t="s">
        <v>9</v>
      </c>
    </row>
    <row r="5" spans="1:17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17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17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17" x14ac:dyDescent="0.25">
      <c r="A8" t="str">
        <f>Dati!A8</f>
        <v>densità aria</v>
      </c>
      <c r="B8">
        <v>0</v>
      </c>
      <c r="C8">
        <f>Dati!C8</f>
        <v>0</v>
      </c>
    </row>
    <row r="9" spans="1:17" x14ac:dyDescent="0.25">
      <c r="A9" t="str">
        <f>Dati!A9</f>
        <v>densità olio</v>
      </c>
      <c r="B9">
        <v>858.7</v>
      </c>
      <c r="C9">
        <f>Dati!C9</f>
        <v>0</v>
      </c>
    </row>
    <row r="10" spans="1:17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17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17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17" x14ac:dyDescent="0.25">
      <c r="A14" s="9" t="s">
        <v>16</v>
      </c>
      <c r="B14" s="9"/>
      <c r="C14" s="9"/>
      <c r="D14" s="5"/>
    </row>
    <row r="15" spans="1:17" x14ac:dyDescent="0.25">
      <c r="A15" s="9"/>
      <c r="B15" s="9"/>
      <c r="C15" s="9"/>
      <c r="D15" s="5"/>
      <c r="H15" t="s">
        <v>20</v>
      </c>
      <c r="I15" t="s">
        <v>45</v>
      </c>
      <c r="J15" t="s">
        <v>43</v>
      </c>
      <c r="K15" t="s">
        <v>42</v>
      </c>
      <c r="N15" t="s">
        <v>20</v>
      </c>
      <c r="O15" t="s">
        <v>45</v>
      </c>
      <c r="P15" t="s">
        <v>43</v>
      </c>
      <c r="Q15" t="s">
        <v>42</v>
      </c>
    </row>
    <row r="16" spans="1:17" x14ac:dyDescent="0.2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1.8285900000000001E-5</v>
      </c>
      <c r="G16" t="s">
        <v>44</v>
      </c>
      <c r="H16" s="1">
        <f>AVERAGE(I22:I26)</f>
        <v>8.9569903503898692E-4</v>
      </c>
      <c r="I16">
        <f>_xlfn.STDEV.S(I22:I26)</f>
        <v>1.629421710060346E-4</v>
      </c>
      <c r="J16" s="1">
        <f>H16-I16</f>
        <v>7.3275686403295238E-4</v>
      </c>
      <c r="K16" s="1">
        <f>H16+I16</f>
        <v>1.0586412060450215E-3</v>
      </c>
      <c r="M16" t="s">
        <v>44</v>
      </c>
      <c r="N16" s="1">
        <f>AVERAGE(O19:O23)</f>
        <v>6.0455406014497178E-4</v>
      </c>
      <c r="O16">
        <f>_xlfn.STDEV.S(O19:O23)</f>
        <v>4.4699868098010113E-4</v>
      </c>
      <c r="P16" s="1">
        <f>N16-O16</f>
        <v>1.5755537916487065E-4</v>
      </c>
      <c r="Q16" s="1">
        <f>N16+O16</f>
        <v>1.0515527411250729E-3</v>
      </c>
    </row>
    <row r="17" spans="1:20" x14ac:dyDescent="0.25">
      <c r="A17" t="s">
        <v>23</v>
      </c>
      <c r="B17">
        <v>2.2999999999999998</v>
      </c>
      <c r="D17" t="s">
        <v>1</v>
      </c>
      <c r="E17" s="2">
        <f>E16/(1+$B$10/($B$7*B29))</f>
        <v>1.6933330075416457E-5</v>
      </c>
    </row>
    <row r="18" spans="1:20" x14ac:dyDescent="0.25">
      <c r="A18" t="s">
        <v>24</v>
      </c>
      <c r="B18">
        <v>21</v>
      </c>
      <c r="D18" t="s">
        <v>32</v>
      </c>
      <c r="E18" s="1">
        <f>B16/B5</f>
        <v>40915.208613728122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20" x14ac:dyDescent="0.25">
      <c r="G19" t="s">
        <v>44</v>
      </c>
      <c r="H19" s="1">
        <f>AVERAGE(I22:I26)</f>
        <v>8.9569903503898692E-4</v>
      </c>
      <c r="I19">
        <f>_xlfn.STDEV.S(I22:I26)</f>
        <v>1.629421710060346E-4</v>
      </c>
      <c r="J19" s="1">
        <f>H19-2*I19</f>
        <v>5.6981469302691773E-4</v>
      </c>
      <c r="K19" s="1">
        <f>H19+2*I19</f>
        <v>1.2215833770510562E-3</v>
      </c>
      <c r="M19" t="s">
        <v>44</v>
      </c>
      <c r="N19" s="1">
        <f>AVERAGE(O22:O26)</f>
        <v>8.2340750008614346E-4</v>
      </c>
      <c r="O19">
        <f>_xlfn.STDEV.S(O22:O26)</f>
        <v>9.4085460858199264E-5</v>
      </c>
      <c r="P19" s="1">
        <f>N19-2*O19</f>
        <v>6.3523657836974496E-4</v>
      </c>
      <c r="Q19" s="1">
        <f>N19+2*O19</f>
        <v>1.0115784218025421E-3</v>
      </c>
    </row>
    <row r="20" spans="1:20" x14ac:dyDescent="0.25">
      <c r="A20" t="s">
        <v>7</v>
      </c>
      <c r="B20">
        <v>1</v>
      </c>
    </row>
    <row r="21" spans="1:20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I21" t="s">
        <v>20</v>
      </c>
      <c r="J21" t="s">
        <v>22</v>
      </c>
      <c r="M21" t="s">
        <v>38</v>
      </c>
      <c r="O21" t="s">
        <v>20</v>
      </c>
      <c r="P21" t="s">
        <v>22</v>
      </c>
      <c r="R21" s="7"/>
      <c r="S21" s="1"/>
      <c r="T21" s="1"/>
    </row>
    <row r="22" spans="1:20" x14ac:dyDescent="0.25">
      <c r="A22">
        <v>1</v>
      </c>
      <c r="B22">
        <v>3.7</v>
      </c>
      <c r="C22" s="1">
        <f>B12/B22</f>
        <v>1.3513513513513514E-4</v>
      </c>
      <c r="D22">
        <f>(($B$10/(2*$B$7))^2+9*E16*C22/(2*$B$6*($B$9-$B$8)))^(1/2)-$B$10/(2*$B$7)</f>
        <v>1.109412003032771E-6</v>
      </c>
      <c r="E22" s="1">
        <f>(D22+$B$10/(2*$B$7))^(-1)*9*E16/(2*$B$6*($B$9-$B$8))*1/2*C28</f>
        <v>5.9768389937267398E-8</v>
      </c>
      <c r="F22" s="1"/>
      <c r="G22">
        <v>21.37</v>
      </c>
      <c r="H22">
        <f>G22-B26</f>
        <v>0.51999999999999957</v>
      </c>
      <c r="I22" s="1">
        <f>$B$12/(G22-B26)</f>
        <v>9.6153846153846235E-4</v>
      </c>
      <c r="J22" s="1">
        <f>(4*PI()/3)*B29^3*($B$9-$B$8)*($B$6/E18)*(1+ABS(I22)/B28)</f>
        <v>7.7508392099899241E-18</v>
      </c>
      <c r="K22" s="14">
        <f>J22/$B$11</f>
        <v>48.376933686561493</v>
      </c>
      <c r="M22">
        <v>24.28</v>
      </c>
      <c r="N22">
        <f>M22-G26</f>
        <v>0.5400000000000027</v>
      </c>
      <c r="O22" s="1">
        <f>B12/(M22-G26)</f>
        <v>9.259259259259213E-4</v>
      </c>
      <c r="P22" s="1">
        <f>-(4*PI()/3)*B29^3*($B$9-$B$8)*($B$6/$E$18)*(1-ABS(O22)/B28)</f>
        <v>5.7038671670056062E-18</v>
      </c>
      <c r="Q22" s="14">
        <f>P22/$B$11</f>
        <v>35.600738993467559</v>
      </c>
      <c r="S22" s="1"/>
      <c r="T22" s="1"/>
    </row>
    <row r="23" spans="1:20" x14ac:dyDescent="0.25">
      <c r="A23">
        <v>2</v>
      </c>
      <c r="B23">
        <v>7.61</v>
      </c>
      <c r="C23" s="1">
        <f>$B$12/(B23-B22)</f>
        <v>1.2787723785166239E-4</v>
      </c>
      <c r="D23">
        <f>(($B$10/(2*$B$7))^2+9*E16*C23/(2*$B$6*($B$9-$B$8)))^(1/2)-$B$10/(2*$B$7)</f>
        <v>1.0781461528368521E-6</v>
      </c>
      <c r="E23" s="1">
        <f>(D23+$B$10/(2*$B$7))^(-1)*9*E16/(2*$B$6*($B$9-$B$8))*1/2*C28</f>
        <v>6.1438953864745664E-8</v>
      </c>
      <c r="F23" s="1"/>
      <c r="G23">
        <v>21.86</v>
      </c>
      <c r="H23">
        <f>G23-G22</f>
        <v>0.48999999999999844</v>
      </c>
      <c r="I23" s="1">
        <f>$B$12/(G23-G22)</f>
        <v>1.0204081632653095E-3</v>
      </c>
      <c r="J23" s="1">
        <f>(4*PI()/3)*B29^3*($B$9-$B$8)*($B$6/E18)*(1+ABS(I23)/B28)</f>
        <v>8.1704892741164894E-18</v>
      </c>
      <c r="K23" s="14">
        <f t="shared" ref="K23:K26" si="0">J23/$B$11</f>
        <v>50.996183392792794</v>
      </c>
      <c r="M23">
        <v>24.91</v>
      </c>
      <c r="N23">
        <f>M23-M22</f>
        <v>0.62999999999999901</v>
      </c>
      <c r="O23" s="1">
        <f>$B$12/(M23-M22)</f>
        <v>7.9365079365079495E-4</v>
      </c>
      <c r="P23" s="1">
        <f>-(4*PI()/3)*B29^3*($B$9-$B$8)*($B$6/$E$18)*(1-ABS(O23)/B28)</f>
        <v>4.7609497389682238E-18</v>
      </c>
      <c r="Q23" s="14">
        <f t="shared" ref="Q23:Q26" si="1">P23/$B$11</f>
        <v>29.715511258479253</v>
      </c>
    </row>
    <row r="24" spans="1:20" x14ac:dyDescent="0.25">
      <c r="A24">
        <v>3</v>
      </c>
      <c r="B24">
        <v>10.51</v>
      </c>
      <c r="C24" s="1">
        <f t="shared" ref="C24:C26" si="2">$B$12/(B24-B23)</f>
        <v>1.7241379310344832E-4</v>
      </c>
      <c r="D24" s="11">
        <f>(($B$10/(2*$B$7))^2+9*E16*C24/(2*$B$6*($B$9-$B$8)))^(1/2)-$B$10/(2*$B$7)</f>
        <v>1.2581937740951186E-6</v>
      </c>
      <c r="E24" s="1">
        <f>(D24+$B$10/(2*$B$7))^(-1)*9*E16/(2*$B$6*($B$9-$B$8))*1/2*C28</f>
        <v>5.2920975563782532E-8</v>
      </c>
      <c r="F24" s="1"/>
      <c r="G24">
        <v>22.39</v>
      </c>
      <c r="H24">
        <f t="shared" ref="H24:H26" si="3">G24-G23</f>
        <v>0.53000000000000114</v>
      </c>
      <c r="I24" s="1">
        <f>$B$12/(G24-G23)</f>
        <v>9.4339622641509229E-4</v>
      </c>
      <c r="J24" s="1">
        <f>(4*PI()/3)*B29^3*($B$9-$B$8)*($B$6/E18)*(1+ABS(I24)/B28)</f>
        <v>7.6215130895987034E-18</v>
      </c>
      <c r="K24" s="14">
        <f t="shared" si="0"/>
        <v>47.569743525521567</v>
      </c>
      <c r="M24">
        <v>25.47</v>
      </c>
      <c r="N24">
        <f t="shared" ref="N24:N26" si="4">M24-M23</f>
        <v>0.55999999999999872</v>
      </c>
      <c r="O24" s="1">
        <f>$B$12/(M24-M23)</f>
        <v>8.9285714285714489E-4</v>
      </c>
      <c r="P24" s="1">
        <f>-(4*PI()/3)*B29^3*($B$9-$B$8)*($B$6/E18)*(1-ABS(O24)/B28)</f>
        <v>5.4681378099962976E-18</v>
      </c>
      <c r="Q24" s="14">
        <f t="shared" si="1"/>
        <v>34.129432059720713</v>
      </c>
    </row>
    <row r="25" spans="1:20" x14ac:dyDescent="0.25">
      <c r="A25">
        <v>4</v>
      </c>
      <c r="B25">
        <v>15.71</v>
      </c>
      <c r="C25" s="1">
        <f t="shared" si="2"/>
        <v>9.615384615384614E-5</v>
      </c>
      <c r="D25">
        <f>(($B$10/(2*$B$7))^2+9*E16*C25/(2*$B$6*($B$9-$B$8)))^(1/2)-$B$10/(2*$B$7)</f>
        <v>9.2973136680773605E-7</v>
      </c>
      <c r="E25" s="1">
        <f>(D25+$B$10/(2*$B$7))^(-1)*9*E16/(2*$B$6*($B$9-$B$8))*1/2*C28</f>
        <v>7.0837525406568919E-8</v>
      </c>
      <c r="F25" s="1"/>
      <c r="G25">
        <v>22.92</v>
      </c>
      <c r="H25">
        <f t="shared" si="3"/>
        <v>0.53000000000000114</v>
      </c>
      <c r="I25" s="1">
        <f>$B$12/(G25-G24)</f>
        <v>9.4339622641509229E-4</v>
      </c>
      <c r="J25" s="1">
        <f>(4*PI()/3)*B29^3*($B$9-$B$8)*($B$6/E18)*(1+ABS(I25)/B28)</f>
        <v>7.6215130895987034E-18</v>
      </c>
      <c r="K25" s="14">
        <f t="shared" si="0"/>
        <v>47.569743525521567</v>
      </c>
      <c r="M25">
        <v>26.08</v>
      </c>
      <c r="N25">
        <f t="shared" si="4"/>
        <v>0.60999999999999943</v>
      </c>
      <c r="O25" s="1">
        <f>$B$12/(M25-M24)</f>
        <v>8.1967213114754174E-4</v>
      </c>
      <c r="P25" s="1">
        <f>-(4*PI()/3)*B29^3*($B$9-$B$8)*($B$6/E18)*(1-ABS(O25)/B28)</f>
        <v>4.9464416920247626E-18</v>
      </c>
      <c r="Q25" s="14">
        <f t="shared" si="1"/>
        <v>30.873260976837635</v>
      </c>
    </row>
    <row r="26" spans="1:20" x14ac:dyDescent="0.25">
      <c r="A26">
        <v>5</v>
      </c>
      <c r="B26">
        <v>20.85</v>
      </c>
      <c r="C26" s="1">
        <f t="shared" si="2"/>
        <v>9.7276264591439682E-5</v>
      </c>
      <c r="D26">
        <f>(($B$10/(2*$B$7))^2+9*E16*C26/(2*$B$6*($B$9-$B$8)))^(1/2)-$B$10/(2*$B$7)</f>
        <v>9.3536776243447075E-7</v>
      </c>
      <c r="E26" s="1">
        <f>(D26+$B$10/(2*$B$7))^(-1)*9*E16/(2*$B$6*($B$9-$B$8))*1/2*C28</f>
        <v>7.0428368425269619E-8</v>
      </c>
      <c r="F26" s="1"/>
      <c r="G26" s="18">
        <v>23.74</v>
      </c>
      <c r="H26" s="18">
        <f t="shared" si="3"/>
        <v>0.81999999999999673</v>
      </c>
      <c r="I26" s="20">
        <f>$B$12/(G26-G25)</f>
        <v>6.097560975609781E-4</v>
      </c>
      <c r="J26" s="20">
        <f>(4*PI()/3)*B29^3*($B$9-$B$8)*($B$6/E18)*(1+ABS(I26)/B28)</f>
        <v>5.2431741926483807E-18</v>
      </c>
      <c r="K26" s="28">
        <f t="shared" si="0"/>
        <v>32.725319588350878</v>
      </c>
      <c r="M26">
        <v>26.81</v>
      </c>
      <c r="N26">
        <f t="shared" si="4"/>
        <v>0.73000000000000043</v>
      </c>
      <c r="O26" s="1">
        <f>$B$12/(M26-M25)</f>
        <v>6.8493150684931464E-4</v>
      </c>
      <c r="P26" s="1">
        <f>-(4*PI()/3)*B29^3*($B$9-$B$8)*($B$6/E18)*(1-ABS(O26)/B28)</f>
        <v>3.9859491131840267E-18</v>
      </c>
      <c r="Q26" s="14">
        <f t="shared" si="1"/>
        <v>24.878337777666651</v>
      </c>
    </row>
    <row r="27" spans="1:20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L27" s="1" t="s">
        <v>28</v>
      </c>
      <c r="M27" s="1" t="s">
        <v>29</v>
      </c>
      <c r="N27" t="s">
        <v>34</v>
      </c>
    </row>
    <row r="28" spans="1:20" x14ac:dyDescent="0.25">
      <c r="A28" t="s">
        <v>27</v>
      </c>
      <c r="B28" s="1">
        <f>AVERAGE(C22:C26)</f>
        <v>1.2577125536710634E-4</v>
      </c>
      <c r="C28" s="1">
        <f>_xlfn.STDEV.S(C22:C26)/SQRT(COUNT(C22:C26))</f>
        <v>1.4065559286484984E-5</v>
      </c>
      <c r="F28" t="str">
        <f>K28</f>
        <v>Velocità</v>
      </c>
      <c r="G28" s="1">
        <f>AVERAGE(I22:I26)</f>
        <v>8.9569903503898692E-4</v>
      </c>
      <c r="H28" s="1">
        <f>_xlfn.STDEV.S(I22:I26)</f>
        <v>1.629421710060346E-4</v>
      </c>
      <c r="I28" s="2">
        <f>H28/SQRT(5)</f>
        <v>7.2869954154177729E-5</v>
      </c>
      <c r="J28" s="2"/>
      <c r="K28" t="s">
        <v>27</v>
      </c>
      <c r="L28" s="1">
        <f>AVERAGE(O22:O26)</f>
        <v>8.2340750008614346E-4</v>
      </c>
      <c r="M28" s="1">
        <f>_xlfn.STDEV.S(O22:O26)</f>
        <v>9.4085460858199264E-5</v>
      </c>
      <c r="N28" s="2">
        <f>M28/SQRT(5)</f>
        <v>4.2076297234665851E-5</v>
      </c>
    </row>
    <row r="29" spans="1:20" x14ac:dyDescent="0.25">
      <c r="A29" t="s">
        <v>5</v>
      </c>
      <c r="B29">
        <f>AVERAGE(D22:D23,D25:D26)</f>
        <v>1.0131643212779574E-6</v>
      </c>
      <c r="C29">
        <f>_xlfn.STDEV.S(D22:D26)/SQRT(COUNT(D22:D26))</f>
        <v>6.1045541742925192E-8</v>
      </c>
      <c r="D29" s="1">
        <f>(B29+$B$10/(2*$B$7))^(-1)*9*E16/(2*$B$6*($B$9-$B$8))*1/2*C28</f>
        <v>6.5228161333865721E-8</v>
      </c>
      <c r="F29" t="str">
        <f>K29</f>
        <v>Carica</v>
      </c>
      <c r="G29">
        <f>AVERAGE(J22:J26)</f>
        <v>7.281505771190441E-18</v>
      </c>
      <c r="H29">
        <f>_xlfn.STDEV.S(J22:J26)</f>
        <v>1.1615260567970632E-18</v>
      </c>
      <c r="I29" s="2">
        <f>H29/SQRT(5)</f>
        <v>5.1945024412710296E-19</v>
      </c>
      <c r="J29" s="2"/>
      <c r="K29" t="s">
        <v>33</v>
      </c>
      <c r="L29">
        <f>AVERAGE(P22:P26)</f>
        <v>4.9730691042357835E-18</v>
      </c>
      <c r="M29">
        <f>_xlfn.STDEV.S(P22:P26)</f>
        <v>6.7068404500705555E-19</v>
      </c>
      <c r="N29" s="2">
        <f>M29/SQRT(5)</f>
        <v>2.9993902321206089E-19</v>
      </c>
    </row>
    <row r="32" spans="1:20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5.9768389937267398E-8</v>
      </c>
      <c r="E33">
        <v>6.1438953864745664E-8</v>
      </c>
      <c r="F33">
        <v>5.2920975563782532E-8</v>
      </c>
      <c r="G33">
        <v>7.0837525406568919E-8</v>
      </c>
      <c r="H33">
        <v>7.0428368425269619E-8</v>
      </c>
    </row>
    <row r="34" spans="1:13" x14ac:dyDescent="0.25">
      <c r="C34" t="s">
        <v>21</v>
      </c>
      <c r="D34">
        <v>1.109412003032771E-6</v>
      </c>
      <c r="E34">
        <v>1.0781461528368521E-6</v>
      </c>
      <c r="F34">
        <v>1.2581937740951186E-6</v>
      </c>
      <c r="G34">
        <v>9.2973136680773605E-7</v>
      </c>
      <c r="H34">
        <v>9.3536776243447075E-7</v>
      </c>
    </row>
    <row r="35" spans="1:13" x14ac:dyDescent="0.25">
      <c r="A35">
        <v>1</v>
      </c>
      <c r="B35" s="1">
        <f>E22</f>
        <v>5.9768389937267398E-8</v>
      </c>
      <c r="C35">
        <f>D22</f>
        <v>1.109412003032771E-6</v>
      </c>
      <c r="D35">
        <f t="shared" ref="D35:H39" si="5">($C35-D$34)/SQRT($B35^2+D$33^2)</f>
        <v>0</v>
      </c>
      <c r="E35">
        <f t="shared" si="5"/>
        <v>0.36476659620014767</v>
      </c>
      <c r="F35">
        <f t="shared" si="5"/>
        <v>-1.8637236225070544</v>
      </c>
      <c r="G35">
        <f t="shared" si="5"/>
        <v>1.9386492821810328</v>
      </c>
      <c r="H35">
        <f t="shared" si="5"/>
        <v>1.8841855030253825</v>
      </c>
    </row>
    <row r="36" spans="1:13" x14ac:dyDescent="0.25">
      <c r="A36">
        <v>2</v>
      </c>
      <c r="B36">
        <f>E23</f>
        <v>6.1438953864745664E-8</v>
      </c>
      <c r="C36">
        <f>D23</f>
        <v>1.0781461528368521E-6</v>
      </c>
      <c r="D36">
        <f t="shared" si="5"/>
        <v>-0.36476659620014767</v>
      </c>
      <c r="E36">
        <f t="shared" si="5"/>
        <v>0</v>
      </c>
      <c r="F36">
        <f t="shared" si="5"/>
        <v>-2.220379119680727</v>
      </c>
      <c r="G36">
        <f t="shared" si="5"/>
        <v>1.5827635531241919</v>
      </c>
      <c r="H36">
        <f t="shared" si="5"/>
        <v>1.5276839282169421</v>
      </c>
    </row>
    <row r="37" spans="1:13" x14ac:dyDescent="0.25">
      <c r="A37">
        <v>3</v>
      </c>
      <c r="B37">
        <f>E24</f>
        <v>5.2920975563782532E-8</v>
      </c>
      <c r="C37">
        <f>D24</f>
        <v>1.2581937740951186E-6</v>
      </c>
      <c r="D37">
        <f t="shared" si="5"/>
        <v>1.8637236225070544</v>
      </c>
      <c r="E37">
        <f t="shared" si="5"/>
        <v>2.220379119680727</v>
      </c>
      <c r="F37">
        <f t="shared" si="5"/>
        <v>0</v>
      </c>
      <c r="G37">
        <f t="shared" si="5"/>
        <v>3.7146816456025062</v>
      </c>
      <c r="H37">
        <f t="shared" si="5"/>
        <v>3.664508235422077</v>
      </c>
    </row>
    <row r="38" spans="1:13" x14ac:dyDescent="0.25">
      <c r="A38">
        <v>4</v>
      </c>
      <c r="B38">
        <f>E25</f>
        <v>7.0837525406568919E-8</v>
      </c>
      <c r="C38">
        <f>D25</f>
        <v>9.2973136680773605E-7</v>
      </c>
      <c r="D38">
        <f t="shared" si="5"/>
        <v>-1.9386492821810328</v>
      </c>
      <c r="E38">
        <f t="shared" si="5"/>
        <v>-1.5827635531241919</v>
      </c>
      <c r="F38">
        <f t="shared" si="5"/>
        <v>-3.7146816456025062</v>
      </c>
      <c r="G38">
        <f t="shared" si="5"/>
        <v>0</v>
      </c>
      <c r="H38">
        <f t="shared" si="5"/>
        <v>-5.642574784303004E-2</v>
      </c>
    </row>
    <row r="39" spans="1:13" x14ac:dyDescent="0.25">
      <c r="A39">
        <v>5</v>
      </c>
      <c r="B39">
        <f>E26</f>
        <v>7.0428368425269619E-8</v>
      </c>
      <c r="C39">
        <f>D26</f>
        <v>9.3536776243447075E-7</v>
      </c>
      <c r="D39">
        <f t="shared" si="5"/>
        <v>-1.8841855030253825</v>
      </c>
      <c r="E39">
        <f t="shared" si="5"/>
        <v>-1.5276839282169421</v>
      </c>
      <c r="F39">
        <f t="shared" si="5"/>
        <v>-3.664508235422077</v>
      </c>
      <c r="G39">
        <f t="shared" si="5"/>
        <v>5.642574784303004E-2</v>
      </c>
      <c r="H39">
        <f t="shared" si="5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1.1615260567970632E-18</v>
      </c>
      <c r="E42">
        <v>1.1615260567970632E-18</v>
      </c>
      <c r="F42">
        <v>1.1615260567970632E-18</v>
      </c>
      <c r="G42">
        <v>1.1615260567970632E-18</v>
      </c>
      <c r="H42">
        <v>1.1615260567970632E-18</v>
      </c>
      <c r="I42">
        <v>6.7068404500705555E-19</v>
      </c>
      <c r="J42">
        <v>6.7068404500705555E-19</v>
      </c>
      <c r="K42">
        <v>6.7068404500705555E-19</v>
      </c>
      <c r="L42">
        <v>6.7068404500705555E-19</v>
      </c>
      <c r="M42">
        <v>6.7068404500705555E-19</v>
      </c>
    </row>
    <row r="43" spans="1:13" x14ac:dyDescent="0.25">
      <c r="C43" t="s">
        <v>35</v>
      </c>
      <c r="D43">
        <v>7.7508392099899241E-18</v>
      </c>
      <c r="E43">
        <v>8.1704892741164894E-18</v>
      </c>
      <c r="F43">
        <v>7.6215130895987034E-18</v>
      </c>
      <c r="G43">
        <v>7.6215130895987034E-18</v>
      </c>
      <c r="H43">
        <v>5.2431741926483807E-18</v>
      </c>
      <c r="I43">
        <v>5.7038671670056062E-18</v>
      </c>
      <c r="J43">
        <v>4.7609497389682238E-18</v>
      </c>
      <c r="K43">
        <v>5.4681378099962976E-18</v>
      </c>
      <c r="L43">
        <v>4.9464416920247626E-18</v>
      </c>
      <c r="M43">
        <v>3.9859491131840267E-18</v>
      </c>
    </row>
    <row r="44" spans="1:13" x14ac:dyDescent="0.25">
      <c r="A44">
        <v>1</v>
      </c>
      <c r="B44">
        <f>$H$29</f>
        <v>1.1615260567970632E-18</v>
      </c>
      <c r="C44" s="1">
        <f>J22</f>
        <v>7.7508392099899241E-18</v>
      </c>
      <c r="D44">
        <f>($C44-D$43)/SQRT($B44^2+D$42^2)</f>
        <v>0</v>
      </c>
      <c r="E44">
        <f t="shared" ref="E44:M44" si="6">($C44-E$43)/SQRT($B44^2+E$42^2)</f>
        <v>-0.25547201832692812</v>
      </c>
      <c r="F44">
        <f t="shared" si="6"/>
        <v>7.8730370427804591E-2</v>
      </c>
      <c r="G44">
        <f t="shared" si="6"/>
        <v>7.8730370427804591E-2</v>
      </c>
      <c r="H44">
        <f t="shared" si="6"/>
        <v>1.5266010851242489</v>
      </c>
      <c r="I44">
        <f t="shared" si="6"/>
        <v>1.5261638898283052</v>
      </c>
      <c r="J44">
        <f t="shared" si="6"/>
        <v>2.2291761926550797</v>
      </c>
      <c r="K44">
        <f t="shared" si="6"/>
        <v>1.7019169655349713</v>
      </c>
      <c r="L44">
        <f t="shared" si="6"/>
        <v>2.0908786904596455</v>
      </c>
      <c r="M44">
        <f t="shared" si="6"/>
        <v>2.8069945237456144</v>
      </c>
    </row>
    <row r="45" spans="1:13" x14ac:dyDescent="0.25">
      <c r="A45">
        <v>2</v>
      </c>
      <c r="B45">
        <f t="shared" ref="B45:B48" si="7">$H$29</f>
        <v>1.1615260567970632E-18</v>
      </c>
      <c r="C45" s="1">
        <f>J23</f>
        <v>8.1704892741164894E-18</v>
      </c>
      <c r="D45">
        <f t="shared" ref="D45:M53" si="8">($C45-D$43)/SQRT($B45^2+D$42^2)</f>
        <v>0.25547201832692812</v>
      </c>
      <c r="E45">
        <f t="shared" si="8"/>
        <v>0</v>
      </c>
      <c r="F45">
        <f t="shared" si="8"/>
        <v>0.33420238875473268</v>
      </c>
      <c r="G45">
        <f t="shared" si="8"/>
        <v>0.33420238875473268</v>
      </c>
      <c r="H45">
        <f t="shared" si="8"/>
        <v>1.782073103451177</v>
      </c>
      <c r="I45">
        <f t="shared" si="8"/>
        <v>1.8390429916358542</v>
      </c>
      <c r="J45">
        <f t="shared" si="8"/>
        <v>2.5420552944626285</v>
      </c>
      <c r="K45">
        <f t="shared" si="8"/>
        <v>2.01479606734252</v>
      </c>
      <c r="L45">
        <f t="shared" si="8"/>
        <v>2.4037577922671942</v>
      </c>
      <c r="M45">
        <f t="shared" si="8"/>
        <v>3.1198736255531632</v>
      </c>
    </row>
    <row r="46" spans="1:13" x14ac:dyDescent="0.25">
      <c r="A46">
        <v>3</v>
      </c>
      <c r="B46">
        <f t="shared" si="7"/>
        <v>1.1615260567970632E-18</v>
      </c>
      <c r="C46" s="1">
        <f>J24</f>
        <v>7.6215130895987034E-18</v>
      </c>
      <c r="D46">
        <f t="shared" si="8"/>
        <v>-7.8730370427804591E-2</v>
      </c>
      <c r="E46">
        <f t="shared" si="8"/>
        <v>-0.33420238875473268</v>
      </c>
      <c r="F46">
        <f t="shared" si="8"/>
        <v>0</v>
      </c>
      <c r="G46">
        <f t="shared" si="8"/>
        <v>0</v>
      </c>
      <c r="H46">
        <f t="shared" si="8"/>
        <v>1.4478707146964442</v>
      </c>
      <c r="I46">
        <f t="shared" si="8"/>
        <v>1.4297420282649613</v>
      </c>
      <c r="J46">
        <f t="shared" si="8"/>
        <v>2.1327543310917361</v>
      </c>
      <c r="K46">
        <f t="shared" si="8"/>
        <v>1.6054951039716274</v>
      </c>
      <c r="L46">
        <f t="shared" si="8"/>
        <v>1.9944568288963014</v>
      </c>
      <c r="M46">
        <f t="shared" si="8"/>
        <v>2.7105726621822708</v>
      </c>
    </row>
    <row r="47" spans="1:13" x14ac:dyDescent="0.25">
      <c r="A47">
        <v>4</v>
      </c>
      <c r="B47">
        <f t="shared" si="7"/>
        <v>1.1615260567970632E-18</v>
      </c>
      <c r="C47" s="1">
        <f>J25</f>
        <v>7.6215130895987034E-18</v>
      </c>
      <c r="D47">
        <f t="shared" si="8"/>
        <v>-7.8730370427804591E-2</v>
      </c>
      <c r="E47">
        <f t="shared" si="8"/>
        <v>-0.33420238875473268</v>
      </c>
      <c r="F47">
        <f t="shared" si="8"/>
        <v>0</v>
      </c>
      <c r="G47">
        <f t="shared" si="8"/>
        <v>0</v>
      </c>
      <c r="H47">
        <f t="shared" si="8"/>
        <v>1.4478707146964442</v>
      </c>
      <c r="I47">
        <f t="shared" si="8"/>
        <v>1.4297420282649613</v>
      </c>
      <c r="J47">
        <f t="shared" si="8"/>
        <v>2.1327543310917361</v>
      </c>
      <c r="K47">
        <f t="shared" si="8"/>
        <v>1.6054951039716274</v>
      </c>
      <c r="L47">
        <f t="shared" si="8"/>
        <v>1.9944568288963014</v>
      </c>
      <c r="M47">
        <f t="shared" si="8"/>
        <v>2.7105726621822708</v>
      </c>
    </row>
    <row r="48" spans="1:13" x14ac:dyDescent="0.25">
      <c r="A48">
        <v>5</v>
      </c>
      <c r="B48">
        <f t="shared" si="7"/>
        <v>1.1615260567970632E-18</v>
      </c>
      <c r="C48" s="1">
        <f>J26</f>
        <v>5.2431741926483807E-18</v>
      </c>
      <c r="D48">
        <f t="shared" si="8"/>
        <v>-1.5266010851242489</v>
      </c>
      <c r="E48">
        <f t="shared" si="8"/>
        <v>-1.782073103451177</v>
      </c>
      <c r="F48">
        <f t="shared" si="8"/>
        <v>-1.4478707146964442</v>
      </c>
      <c r="G48">
        <f t="shared" si="8"/>
        <v>-1.4478707146964442</v>
      </c>
      <c r="H48">
        <f t="shared" si="8"/>
        <v>0</v>
      </c>
      <c r="I48">
        <f t="shared" si="8"/>
        <v>-0.34347952341183074</v>
      </c>
      <c r="J48">
        <f t="shared" si="8"/>
        <v>0.35953277941494377</v>
      </c>
      <c r="K48">
        <f t="shared" si="8"/>
        <v>-0.16772644770516468</v>
      </c>
      <c r="L48">
        <f t="shared" si="8"/>
        <v>0.22123527721950936</v>
      </c>
      <c r="M48">
        <f t="shared" si="8"/>
        <v>0.93735111050547859</v>
      </c>
    </row>
    <row r="49" spans="1:13" x14ac:dyDescent="0.25">
      <c r="A49">
        <v>6</v>
      </c>
      <c r="B49">
        <f>$M$29</f>
        <v>6.7068404500705555E-19</v>
      </c>
      <c r="C49" s="1">
        <f>P22</f>
        <v>5.7038671670056062E-18</v>
      </c>
      <c r="D49">
        <f t="shared" si="8"/>
        <v>-1.5261638898283052</v>
      </c>
      <c r="E49">
        <f t="shared" si="8"/>
        <v>-1.8390429916358542</v>
      </c>
      <c r="F49">
        <f t="shared" si="8"/>
        <v>-1.4297420282649613</v>
      </c>
      <c r="G49">
        <f t="shared" si="8"/>
        <v>-1.4297420282649613</v>
      </c>
      <c r="H49">
        <f t="shared" si="8"/>
        <v>0.34347952341183074</v>
      </c>
      <c r="I49">
        <f t="shared" si="8"/>
        <v>0</v>
      </c>
      <c r="J49">
        <f t="shared" si="8"/>
        <v>0.99412430104431271</v>
      </c>
      <c r="K49">
        <f t="shared" si="8"/>
        <v>0.24853107526103918</v>
      </c>
      <c r="L49">
        <f t="shared" si="8"/>
        <v>0.79855886477329563</v>
      </c>
      <c r="M49">
        <f t="shared" si="8"/>
        <v>1.8112127676561263</v>
      </c>
    </row>
    <row r="50" spans="1:13" x14ac:dyDescent="0.25">
      <c r="A50">
        <v>7</v>
      </c>
      <c r="B50">
        <f t="shared" ref="B50:B53" si="9">$M$29</f>
        <v>6.7068404500705555E-19</v>
      </c>
      <c r="C50" s="1">
        <f t="shared" ref="C50:C53" si="10">P23</f>
        <v>4.7609497389682238E-18</v>
      </c>
      <c r="D50">
        <f t="shared" si="8"/>
        <v>-2.2291761926550797</v>
      </c>
      <c r="E50">
        <f t="shared" si="8"/>
        <v>-2.5420552944626285</v>
      </c>
      <c r="F50">
        <f t="shared" si="8"/>
        <v>-2.1327543310917361</v>
      </c>
      <c r="G50">
        <f t="shared" si="8"/>
        <v>-2.1327543310917361</v>
      </c>
      <c r="H50">
        <f t="shared" si="8"/>
        <v>-0.35953277941494377</v>
      </c>
      <c r="I50">
        <f t="shared" si="8"/>
        <v>-0.99412430104431271</v>
      </c>
      <c r="J50">
        <f t="shared" si="8"/>
        <v>0</v>
      </c>
      <c r="K50">
        <f t="shared" si="8"/>
        <v>-0.74559322578327347</v>
      </c>
      <c r="L50">
        <f t="shared" si="8"/>
        <v>-0.19556543627101711</v>
      </c>
      <c r="M50">
        <f t="shared" si="8"/>
        <v>0.81708846661181356</v>
      </c>
    </row>
    <row r="51" spans="1:13" x14ac:dyDescent="0.25">
      <c r="A51">
        <v>8</v>
      </c>
      <c r="B51">
        <f t="shared" si="9"/>
        <v>6.7068404500705555E-19</v>
      </c>
      <c r="C51" s="1">
        <f t="shared" si="10"/>
        <v>5.4681378099962976E-18</v>
      </c>
      <c r="D51">
        <f t="shared" si="8"/>
        <v>-1.7019169655349713</v>
      </c>
      <c r="E51">
        <f t="shared" si="8"/>
        <v>-2.01479606734252</v>
      </c>
      <c r="F51">
        <f t="shared" si="8"/>
        <v>-1.6054951039716274</v>
      </c>
      <c r="G51">
        <f t="shared" si="8"/>
        <v>-1.6054951039716274</v>
      </c>
      <c r="H51">
        <f t="shared" si="8"/>
        <v>0.16772644770516468</v>
      </c>
      <c r="I51">
        <f t="shared" si="8"/>
        <v>-0.24853107526103918</v>
      </c>
      <c r="J51">
        <f t="shared" si="8"/>
        <v>0.74559322578327347</v>
      </c>
      <c r="K51">
        <f t="shared" si="8"/>
        <v>0</v>
      </c>
      <c r="L51">
        <f t="shared" si="8"/>
        <v>0.55002778951225639</v>
      </c>
      <c r="M51">
        <f t="shared" si="8"/>
        <v>1.562681692395087</v>
      </c>
    </row>
    <row r="52" spans="1:13" x14ac:dyDescent="0.25">
      <c r="A52">
        <v>9</v>
      </c>
      <c r="B52">
        <f t="shared" si="9"/>
        <v>6.7068404500705555E-19</v>
      </c>
      <c r="C52" s="1">
        <f t="shared" si="10"/>
        <v>4.9464416920247626E-18</v>
      </c>
      <c r="D52">
        <f t="shared" si="8"/>
        <v>-2.0908786904596455</v>
      </c>
      <c r="E52">
        <f t="shared" si="8"/>
        <v>-2.4037577922671942</v>
      </c>
      <c r="F52">
        <f t="shared" si="8"/>
        <v>-1.9944568288963014</v>
      </c>
      <c r="G52">
        <f t="shared" si="8"/>
        <v>-1.9944568288963014</v>
      </c>
      <c r="H52">
        <f t="shared" si="8"/>
        <v>-0.22123527721950936</v>
      </c>
      <c r="I52">
        <f t="shared" si="8"/>
        <v>-0.79855886477329563</v>
      </c>
      <c r="J52">
        <f t="shared" si="8"/>
        <v>0.19556543627101711</v>
      </c>
      <c r="K52">
        <f t="shared" si="8"/>
        <v>-0.55002778951225639</v>
      </c>
      <c r="L52">
        <f t="shared" si="8"/>
        <v>0</v>
      </c>
      <c r="M52">
        <f t="shared" si="8"/>
        <v>1.0126539028828307</v>
      </c>
    </row>
    <row r="53" spans="1:13" x14ac:dyDescent="0.25">
      <c r="A53">
        <v>10</v>
      </c>
      <c r="B53">
        <f t="shared" si="9"/>
        <v>6.7068404500705555E-19</v>
      </c>
      <c r="C53" s="1">
        <f t="shared" si="10"/>
        <v>3.9859491131840267E-18</v>
      </c>
      <c r="D53">
        <f t="shared" si="8"/>
        <v>-2.8069945237456144</v>
      </c>
      <c r="E53">
        <f t="shared" si="8"/>
        <v>-3.1198736255531632</v>
      </c>
      <c r="F53">
        <f t="shared" si="8"/>
        <v>-2.7105726621822708</v>
      </c>
      <c r="G53">
        <f t="shared" si="8"/>
        <v>-2.7105726621822708</v>
      </c>
      <c r="H53">
        <f t="shared" si="8"/>
        <v>-0.93735111050547859</v>
      </c>
      <c r="I53">
        <f t="shared" si="8"/>
        <v>-1.8112127676561263</v>
      </c>
      <c r="J53">
        <f t="shared" si="8"/>
        <v>-0.81708846661181356</v>
      </c>
      <c r="K53">
        <f t="shared" si="8"/>
        <v>-1.562681692395087</v>
      </c>
      <c r="L53">
        <f t="shared" si="8"/>
        <v>-1.0126539028828307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65" priority="5" operator="greaterThan">
      <formula>1.96</formula>
    </cfRule>
  </conditionalFormatting>
  <conditionalFormatting sqref="D35:H39">
    <cfRule type="cellIs" dxfId="64" priority="4" operator="notBetween">
      <formula>-1.96</formula>
      <formula>1.96</formula>
    </cfRule>
  </conditionalFormatting>
  <conditionalFormatting sqref="I22:I26">
    <cfRule type="cellIs" dxfId="63" priority="3" operator="notBetween">
      <formula>$J$19</formula>
      <formula>$K$19</formula>
    </cfRule>
  </conditionalFormatting>
  <conditionalFormatting sqref="O22">
    <cfRule type="cellIs" dxfId="62" priority="2" operator="notBetween">
      <formula>$P$19</formula>
      <formula>$Q$19</formula>
    </cfRule>
  </conditionalFormatting>
  <conditionalFormatting sqref="O23:O26">
    <cfRule type="cellIs" dxfId="61" priority="1" operator="notBetween">
      <formula>$P$19</formula>
      <formula>$Q$19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10" workbookViewId="0">
      <selection activeCell="E14" sqref="E14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  <col min="10" max="15" width="9.28515625" bestFit="1" customWidth="1"/>
    <col min="16" max="16" width="12" bestFit="1" customWidth="1"/>
    <col min="17" max="17" width="9.28515625" bestFit="1" customWidth="1"/>
  </cols>
  <sheetData>
    <row r="1" spans="1:15" x14ac:dyDescent="0.25">
      <c r="A1" s="9" t="str">
        <f>Dati!A1</f>
        <v>Costanti varie</v>
      </c>
      <c r="B1" s="9"/>
      <c r="C1" s="9"/>
    </row>
    <row r="2" spans="1:15" x14ac:dyDescent="0.25">
      <c r="A2" s="9"/>
      <c r="B2" s="9"/>
      <c r="C2" s="9"/>
    </row>
    <row r="4" spans="1:15" x14ac:dyDescent="0.25">
      <c r="B4" t="s">
        <v>12</v>
      </c>
      <c r="C4" t="s">
        <v>9</v>
      </c>
    </row>
    <row r="5" spans="1:1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1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1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15" x14ac:dyDescent="0.25">
      <c r="A8" t="str">
        <f>Dati!A8</f>
        <v>densità aria</v>
      </c>
      <c r="B8">
        <v>0</v>
      </c>
      <c r="C8">
        <f>Dati!C8</f>
        <v>0</v>
      </c>
    </row>
    <row r="9" spans="1:15" x14ac:dyDescent="0.25">
      <c r="A9" t="str">
        <f>Dati!A9</f>
        <v>densità olio</v>
      </c>
      <c r="B9">
        <v>858.7</v>
      </c>
      <c r="C9">
        <f>Dati!C9</f>
        <v>0</v>
      </c>
    </row>
    <row r="10" spans="1:1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1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15" x14ac:dyDescent="0.25">
      <c r="A12" t="str">
        <f>Dati!A12</f>
        <v>deltax</v>
      </c>
      <c r="B12">
        <f>Dati!B12</f>
        <v>5.0000000000000001E-4</v>
      </c>
      <c r="C12">
        <f>Dati!C12</f>
        <v>0</v>
      </c>
      <c r="O12" s="6"/>
    </row>
    <row r="13" spans="1:15" x14ac:dyDescent="0.25">
      <c r="A13" t="s">
        <v>7</v>
      </c>
      <c r="B13">
        <f>AVERAGE(G29,L29)/B11</f>
        <v>16.980886740493737</v>
      </c>
      <c r="O13" s="6"/>
    </row>
    <row r="14" spans="1:15" x14ac:dyDescent="0.25">
      <c r="A14" s="9" t="s">
        <v>16</v>
      </c>
      <c r="B14" s="9"/>
      <c r="C14" s="9"/>
      <c r="D14" s="5"/>
      <c r="O14" s="6"/>
    </row>
    <row r="15" spans="1:15" x14ac:dyDescent="0.25">
      <c r="A15" s="9"/>
      <c r="B15" s="9"/>
      <c r="C15" s="9"/>
      <c r="D15" s="5"/>
      <c r="O15" s="6"/>
    </row>
    <row r="16" spans="1:15" x14ac:dyDescent="0.2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1.8285900000000001E-5</v>
      </c>
      <c r="O16" s="6"/>
    </row>
    <row r="17" spans="1:18" x14ac:dyDescent="0.25">
      <c r="A17" t="s">
        <v>23</v>
      </c>
      <c r="B17">
        <v>2.2999999999999998</v>
      </c>
      <c r="D17" t="s">
        <v>1</v>
      </c>
      <c r="E17" s="2">
        <f>E16/(1+$B$10/($B$7*B29))</f>
        <v>1.6713448789128826E-5</v>
      </c>
      <c r="O17" s="6"/>
    </row>
    <row r="18" spans="1:18" x14ac:dyDescent="0.25">
      <c r="A18" t="s">
        <v>24</v>
      </c>
      <c r="B18">
        <v>21</v>
      </c>
      <c r="D18" t="s">
        <v>32</v>
      </c>
      <c r="E18" s="1">
        <f>B16/B5</f>
        <v>40915.208613728122</v>
      </c>
      <c r="G18" s="21"/>
      <c r="H18" s="21" t="s">
        <v>20</v>
      </c>
      <c r="I18" s="21" t="s">
        <v>45</v>
      </c>
      <c r="J18" s="21" t="s">
        <v>43</v>
      </c>
      <c r="K18" s="21" t="s">
        <v>42</v>
      </c>
      <c r="L18" s="21"/>
      <c r="M18" s="21"/>
      <c r="N18" s="21" t="s">
        <v>20</v>
      </c>
      <c r="O18" s="21" t="s">
        <v>45</v>
      </c>
      <c r="P18" s="21" t="s">
        <v>43</v>
      </c>
      <c r="Q18" s="21" t="s">
        <v>42</v>
      </c>
      <c r="R18" s="21"/>
    </row>
    <row r="19" spans="1:18" x14ac:dyDescent="0.25">
      <c r="G19" s="21" t="s">
        <v>44</v>
      </c>
      <c r="H19" s="22">
        <f>AVERAGE(I22:I26)</f>
        <v>3.0368407713821484E-4</v>
      </c>
      <c r="I19" s="21">
        <f>_xlfn.STDEV.S(I22:I26)</f>
        <v>9.2794378794356578E-5</v>
      </c>
      <c r="J19" s="22">
        <f>H19-2*I19</f>
        <v>1.1809531954950169E-4</v>
      </c>
      <c r="K19" s="22">
        <f>H19+2*I19</f>
        <v>4.89272834726928E-4</v>
      </c>
      <c r="L19" s="21"/>
      <c r="M19" s="21" t="s">
        <v>44</v>
      </c>
      <c r="N19" s="22">
        <f>AVERAGE(O22:O26)</f>
        <v>5.2686472079985865E-4</v>
      </c>
      <c r="O19" s="21">
        <f>_xlfn.STDEV.S(O22:O26)</f>
        <v>1.165946452916216E-4</v>
      </c>
      <c r="P19" s="22">
        <f>N19-2*O19</f>
        <v>2.9367543021661545E-4</v>
      </c>
      <c r="Q19" s="22">
        <f>N19+2*O19</f>
        <v>7.6005401138310184E-4</v>
      </c>
      <c r="R19" s="21"/>
    </row>
    <row r="20" spans="1:18" x14ac:dyDescent="0.25">
      <c r="A20" t="s">
        <v>7</v>
      </c>
      <c r="B20">
        <v>1</v>
      </c>
      <c r="G20" s="21"/>
      <c r="H20" s="21"/>
      <c r="I20" s="21"/>
      <c r="J20" s="23"/>
      <c r="K20" s="21"/>
      <c r="L20" s="21"/>
      <c r="M20" s="21"/>
      <c r="N20" s="21"/>
      <c r="O20" s="23"/>
      <c r="P20" s="21"/>
      <c r="Q20" s="21"/>
      <c r="R20" s="21"/>
    </row>
    <row r="21" spans="1:18" x14ac:dyDescent="0.25">
      <c r="B21" t="s">
        <v>17</v>
      </c>
      <c r="C21" t="s">
        <v>20</v>
      </c>
      <c r="D21" t="s">
        <v>21</v>
      </c>
      <c r="E21" t="s">
        <v>9</v>
      </c>
      <c r="G21" s="21" t="s">
        <v>18</v>
      </c>
      <c r="H21" s="21"/>
      <c r="I21" s="21" t="s">
        <v>20</v>
      </c>
      <c r="J21" s="21" t="s">
        <v>22</v>
      </c>
      <c r="K21" s="21"/>
      <c r="L21" s="21"/>
      <c r="M21" s="21" t="s">
        <v>38</v>
      </c>
      <c r="N21" s="21"/>
      <c r="O21" s="21" t="s">
        <v>20</v>
      </c>
      <c r="P21" s="21" t="s">
        <v>22</v>
      </c>
      <c r="Q21" s="21"/>
      <c r="R21" s="21"/>
    </row>
    <row r="22" spans="1:18" x14ac:dyDescent="0.25">
      <c r="A22">
        <v>1</v>
      </c>
      <c r="B22">
        <v>6.61</v>
      </c>
      <c r="C22" s="1">
        <f>B12/B22</f>
        <v>7.5642965204236E-5</v>
      </c>
      <c r="D22">
        <f>(($B$10/(2*$B$7))^2+9*E16*C22/(2*$B$6*($B$9-$B$8)))^(1/2)-$B$10/(2*$B$7)</f>
        <v>8.2025728507708631E-7</v>
      </c>
      <c r="E22" s="1">
        <f>(D22+$B$10/(2*$B$7))^(-1)*9*E16/(2*$B$6*($B$9-$B$8))*1/2*C28</f>
        <v>4.9675898536188526E-8</v>
      </c>
      <c r="F22" s="1"/>
      <c r="G22" s="21">
        <v>33.299999999999997</v>
      </c>
      <c r="H22" s="21">
        <f>G22-B26</f>
        <v>2.1199999999999974</v>
      </c>
      <c r="I22" s="21">
        <f>$B$12/(G22-B26)</f>
        <v>2.3584905660377388E-4</v>
      </c>
      <c r="J22" s="22">
        <f>(4*PI()/3)*B29^3*($B$9-$B$8)*($B$6/E18)*(1+ABS(I22)/B28)</f>
        <v>2.0937970482969781E-18</v>
      </c>
      <c r="K22" s="21">
        <f>J22/$B$11</f>
        <v>13.068453391218366</v>
      </c>
      <c r="L22" s="21"/>
      <c r="M22" s="21">
        <v>40.67</v>
      </c>
      <c r="N22" s="21">
        <f>M22-G26</f>
        <v>0.78000000000000114</v>
      </c>
      <c r="O22" s="21">
        <f>B12/(M22-G26)</f>
        <v>6.4102564102564016E-4</v>
      </c>
      <c r="P22" s="21">
        <f>-(4*PI()/3)*B29^3*($B$9-$B$8)*($B$6/$E$18)*(1-ABS(O22)/B28)</f>
        <v>3.6509794300925895E-18</v>
      </c>
      <c r="Q22" s="21">
        <f>P22/$B$11</f>
        <v>22.787621442713284</v>
      </c>
      <c r="R22" s="21"/>
    </row>
    <row r="23" spans="1:18" x14ac:dyDescent="0.25">
      <c r="A23">
        <v>2</v>
      </c>
      <c r="B23">
        <v>11.51</v>
      </c>
      <c r="C23" s="1">
        <f>$B$12/(B23-B22)</f>
        <v>1.0204081632653063E-4</v>
      </c>
      <c r="D23">
        <f>(($B$10/(2*$B$7))^2+9*E16*C23/(2*$B$6*($B$9-$B$8)))^(1/2)-$B$10/(2*$B$7)</f>
        <v>9.5893988544328431E-7</v>
      </c>
      <c r="E23" s="1">
        <f>(D23+$B$10/(2*$B$7))^(-1)*9*E16/(2*$B$6*($B$9-$B$8))*1/2*C28</f>
        <v>4.2782605552504824E-8</v>
      </c>
      <c r="F23" s="1"/>
      <c r="G23" s="21">
        <v>34.369999999999997</v>
      </c>
      <c r="H23" s="21">
        <f>G23-G22</f>
        <v>1.0700000000000003</v>
      </c>
      <c r="I23" s="21">
        <f>$B$12/(G23-G22)</f>
        <v>4.6728971962616814E-4</v>
      </c>
      <c r="J23" s="22">
        <f>(4*PI()/3)*B29^3*($B$9-$B$8)*($B$6/E18)*(1+ABS(I23)/B28)</f>
        <v>3.6100625770759178E-18</v>
      </c>
      <c r="K23" s="21">
        <f t="shared" ref="K23:K26" si="0">J23/$B$11</f>
        <v>22.532238531079784</v>
      </c>
      <c r="L23" s="21"/>
      <c r="M23" s="21">
        <v>41.44</v>
      </c>
      <c r="N23" s="21">
        <f>M23-M22</f>
        <v>0.76999999999999602</v>
      </c>
      <c r="O23" s="21">
        <f>$B$12/(M23-M22)</f>
        <v>6.4935064935065271E-4</v>
      </c>
      <c r="P23" s="21">
        <f>-(4*PI()/3)*B29^3*($B$9-$B$8)*($B$6/$E$18)*(1-ABS(O23)/B28)</f>
        <v>3.7055200755659078E-18</v>
      </c>
      <c r="Q23" s="21">
        <f t="shared" ref="Q23:Q26" si="1">P23/$B$11</f>
        <v>23.12803737933654</v>
      </c>
      <c r="R23" s="21"/>
    </row>
    <row r="24" spans="1:18" x14ac:dyDescent="0.25">
      <c r="A24">
        <v>3</v>
      </c>
      <c r="B24">
        <v>16.2</v>
      </c>
      <c r="C24" s="1">
        <f t="shared" ref="C24:C26" si="2">$B$12/(B24-B23)</f>
        <v>1.0660980810234542E-4</v>
      </c>
      <c r="D24">
        <f>(($B$10/(2*$B$7))^2+9*E16*C24/(2*$B$6*($B$9-$B$8)))^(1/2)-$B$10/(2*$B$7)</f>
        <v>9.8103370364425726E-7</v>
      </c>
      <c r="E24" s="1">
        <f>(D24+$B$10/(2*$B$7))^(-1)*9*E16/(2*$B$6*($B$9-$B$8))*1/2*C28</f>
        <v>4.1857266962875047E-8</v>
      </c>
      <c r="F24" s="1"/>
      <c r="G24" s="21">
        <v>36.19</v>
      </c>
      <c r="H24" s="21">
        <f t="shared" ref="H24:H26" si="3">G24-G23</f>
        <v>1.8200000000000003</v>
      </c>
      <c r="I24" s="21">
        <f>$B$12/(G24-G23)</f>
        <v>2.7472527472527467E-4</v>
      </c>
      <c r="J24" s="22">
        <f>(4*PI()/3)*B29^3*($B$9-$B$8)*($B$6/E18)*(1+ABS(I24)/B28)</f>
        <v>2.3484915719694199E-18</v>
      </c>
      <c r="K24" s="21">
        <f t="shared" si="0"/>
        <v>14.65813158582616</v>
      </c>
      <c r="L24" s="21"/>
      <c r="M24" s="21">
        <v>42.71</v>
      </c>
      <c r="N24" s="21">
        <f t="shared" ref="N24:N26" si="4">M24-M23</f>
        <v>1.2700000000000031</v>
      </c>
      <c r="O24" s="21">
        <f>$B$12/(M24-M23)</f>
        <v>3.9370078740157382E-4</v>
      </c>
      <c r="P24" s="21">
        <f>-(4*PI()/3)*B29^3*($B$9-$B$8)*($B$6/E18)*(1-ABS(O24)/B28)</f>
        <v>2.0306498602443436E-18</v>
      </c>
      <c r="Q24" s="21">
        <f t="shared" si="1"/>
        <v>12.674319640517183</v>
      </c>
      <c r="R24" s="21"/>
    </row>
    <row r="25" spans="1:18" x14ac:dyDescent="0.25">
      <c r="A25">
        <v>4</v>
      </c>
      <c r="B25">
        <v>24.31</v>
      </c>
      <c r="C25" s="1">
        <f t="shared" si="2"/>
        <v>6.1652281134401985E-5</v>
      </c>
      <c r="D25">
        <f>(($B$10/(2*$B$7))^2+9*E16*C25/(2*$B$6*($B$9-$B$8)))^(1/2)-$B$10/(2*$B$7)</f>
        <v>7.367877931225165E-7</v>
      </c>
      <c r="E25" s="1">
        <f>(D25+$B$10/(2*$B$7))^(-1)*9*E16/(2*$B$6*($B$9-$B$8))*1/2*C28</f>
        <v>5.5010621246520294E-8</v>
      </c>
      <c r="F25" s="1"/>
      <c r="G25" s="21">
        <v>38.049999999999997</v>
      </c>
      <c r="H25" s="21">
        <f t="shared" si="3"/>
        <v>1.8599999999999994</v>
      </c>
      <c r="I25" s="21">
        <f>$B$12/(G25-G24)</f>
        <v>2.6881720430107538E-4</v>
      </c>
      <c r="J25" s="22">
        <f>(4*PI()/3)*B29^3*($B$9-$B$8)*($B$6/E18)*(1+ABS(I25)/B28)</f>
        <v>2.3097853074399886E-18</v>
      </c>
      <c r="K25" s="21">
        <f t="shared" si="0"/>
        <v>14.416546082416236</v>
      </c>
      <c r="L25" s="21"/>
      <c r="M25" s="21">
        <v>43.68</v>
      </c>
      <c r="N25" s="21">
        <f t="shared" si="4"/>
        <v>0.96999999999999886</v>
      </c>
      <c r="O25" s="21">
        <f>$B$12/(M25-M24)</f>
        <v>5.1546391752577386E-4</v>
      </c>
      <c r="P25" s="21">
        <f>-(4*PI()/3)*B29^3*($B$9-$B$8)*($B$6/E18)*(1-ABS(O25)/B28)</f>
        <v>2.828371550428426E-18</v>
      </c>
      <c r="Q25" s="21">
        <f t="shared" si="1"/>
        <v>17.65330685220226</v>
      </c>
      <c r="R25" s="21"/>
    </row>
    <row r="26" spans="1:18" x14ac:dyDescent="0.25">
      <c r="A26">
        <v>5</v>
      </c>
      <c r="B26">
        <v>31.18</v>
      </c>
      <c r="C26" s="1">
        <f t="shared" si="2"/>
        <v>7.2780203784570589E-5</v>
      </c>
      <c r="D26">
        <f>(($B$10/(2*$B$7))^2+9*E16*C26/(2*$B$6*($B$9-$B$8)))^(1/2)-$B$10/(2*$B$7)</f>
        <v>8.0384959421325552E-7</v>
      </c>
      <c r="E26" s="1">
        <f>(D26+$B$10/(2*$B$7))^(-1)*9*E16/(2*$B$6*($B$9-$B$8))*1/2*C28</f>
        <v>5.0641258958140892E-8</v>
      </c>
      <c r="F26" s="1"/>
      <c r="G26" s="21">
        <v>39.89</v>
      </c>
      <c r="H26" s="21">
        <f t="shared" si="3"/>
        <v>1.8400000000000034</v>
      </c>
      <c r="I26" s="21">
        <f>$B$12/(G26-G25)</f>
        <v>2.7173913043478212E-4</v>
      </c>
      <c r="J26" s="22">
        <f>(4*PI()/3)*B29^3*($B$9-$B$8)*($B$6/E18)*(1+ABS(I26)/B28)</f>
        <v>2.3289280795713886E-18</v>
      </c>
      <c r="K26" s="21">
        <f t="shared" si="0"/>
        <v>14.53602586942873</v>
      </c>
      <c r="L26" s="21"/>
      <c r="M26" s="21">
        <v>44.83</v>
      </c>
      <c r="N26" s="21">
        <f t="shared" si="4"/>
        <v>1.1499999999999986</v>
      </c>
      <c r="O26" s="21">
        <f>$B$12/(M26-M25)</f>
        <v>4.3478260869565273E-4</v>
      </c>
      <c r="P26" s="21">
        <f>-(4*PI()/3)*B29^3*($B$9-$B$8)*($B$6/E18)*(1-ABS(O26)/B28)</f>
        <v>2.2997942218021099E-18</v>
      </c>
      <c r="Q26" s="21">
        <f t="shared" si="1"/>
        <v>14.354186630198797</v>
      </c>
      <c r="R26" s="21"/>
    </row>
    <row r="27" spans="1:18" x14ac:dyDescent="0.25">
      <c r="B27" s="1" t="s">
        <v>28</v>
      </c>
      <c r="C27" s="1" t="s">
        <v>34</v>
      </c>
      <c r="D27" t="s">
        <v>30</v>
      </c>
      <c r="G27" s="21" t="s">
        <v>28</v>
      </c>
      <c r="H27" s="21" t="s">
        <v>29</v>
      </c>
      <c r="I27" s="21" t="s">
        <v>34</v>
      </c>
      <c r="J27" s="21"/>
      <c r="K27" s="21"/>
      <c r="L27" s="21" t="s">
        <v>28</v>
      </c>
      <c r="M27" s="21" t="s">
        <v>29</v>
      </c>
      <c r="N27" s="21" t="s">
        <v>34</v>
      </c>
      <c r="O27" s="21"/>
      <c r="P27" s="21"/>
      <c r="Q27" s="21"/>
      <c r="R27" s="21"/>
    </row>
    <row r="28" spans="1:18" x14ac:dyDescent="0.25">
      <c r="A28" t="s">
        <v>27</v>
      </c>
      <c r="B28" s="1">
        <f>AVERAGE(C22:C26)</f>
        <v>8.3745214910416928E-5</v>
      </c>
      <c r="C28" s="1">
        <f>_xlfn.STDEV.S(C22:C26)/SQRT(COUNT(C22:C26))</f>
        <v>8.750697958255413E-6</v>
      </c>
      <c r="F28" t="str">
        <f>K28</f>
        <v>Velocità</v>
      </c>
      <c r="G28" s="21">
        <f>AVERAGE(I22:I26)</f>
        <v>3.0368407713821484E-4</v>
      </c>
      <c r="H28" s="21">
        <f>_xlfn.STDEV.S(I22:I26)</f>
        <v>9.2794378794356578E-5</v>
      </c>
      <c r="I28" s="21">
        <f>H28/SQRT(5)</f>
        <v>4.1498907782809258E-5</v>
      </c>
      <c r="J28" s="21"/>
      <c r="K28" s="21" t="s">
        <v>27</v>
      </c>
      <c r="L28" s="21">
        <f>AVERAGE(O22:O26)</f>
        <v>5.2686472079985865E-4</v>
      </c>
      <c r="M28" s="21">
        <f>_xlfn.STDEV.S(O22:O26)</f>
        <v>1.165946452916216E-4</v>
      </c>
      <c r="N28" s="21">
        <f>M28/SQRT(5)</f>
        <v>5.2142710536908333E-5</v>
      </c>
      <c r="O28" s="21"/>
      <c r="P28" s="21"/>
      <c r="Q28" s="21"/>
      <c r="R28" s="21"/>
    </row>
    <row r="29" spans="1:18" x14ac:dyDescent="0.25">
      <c r="A29" t="s">
        <v>5</v>
      </c>
      <c r="B29">
        <f>AVERAGE(D22:D26)</f>
        <v>8.6017365230007992E-7</v>
      </c>
      <c r="C29">
        <f>_xlfn.STDEV.S(D22:D26)/SQRT(COUNT(D22:D26))</f>
        <v>4.7091244917101815E-8</v>
      </c>
      <c r="D29" s="1">
        <f>(B29+$B$10/(2*$B$7))^(-1)*9*E16/(2*$B$6*($B$9-$B$8))*1/2*C28</f>
        <v>4.7474256483337654E-8</v>
      </c>
      <c r="F29" t="str">
        <f>K29</f>
        <v>Carica</v>
      </c>
      <c r="G29" s="21">
        <f>AVERAGE(J22:J26)</f>
        <v>2.5382129168707387E-18</v>
      </c>
      <c r="H29" s="21">
        <f>_xlfn.STDEV.S(J22:J26)</f>
        <v>6.0793516572636176E-19</v>
      </c>
      <c r="I29" s="21">
        <f>H29/SQRT(5)</f>
        <v>2.7187687129534905E-19</v>
      </c>
      <c r="J29" s="21"/>
      <c r="K29" s="21" t="s">
        <v>33</v>
      </c>
      <c r="L29" s="21">
        <f>AVERAGE(P22:P26)</f>
        <v>2.9030630276266761E-18</v>
      </c>
      <c r="M29" s="21">
        <f>_xlfn.STDEV.S(P22:P26)</f>
        <v>7.63860763217687E-19</v>
      </c>
      <c r="N29" s="21">
        <f>M29/SQRT(5)</f>
        <v>3.4160891837992381E-19</v>
      </c>
      <c r="O29" s="21"/>
      <c r="P29" s="21"/>
      <c r="Q29" s="21"/>
      <c r="R29" s="21"/>
    </row>
    <row r="32" spans="1:18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  <c r="L32" t="s">
        <v>40</v>
      </c>
      <c r="M32" t="s">
        <v>41</v>
      </c>
      <c r="N32" t="s">
        <v>42</v>
      </c>
    </row>
    <row r="33" spans="1:14" x14ac:dyDescent="0.25">
      <c r="B33" t="s">
        <v>26</v>
      </c>
      <c r="D33">
        <f t="array" ref="D33:H34">TRANSPOSE(B35:C39)</f>
        <v>4.9675898536188526E-8</v>
      </c>
      <c r="E33">
        <v>4.2782605552504824E-8</v>
      </c>
      <c r="F33">
        <v>4.1857266962875047E-8</v>
      </c>
      <c r="G33">
        <v>5.5010621246520294E-8</v>
      </c>
      <c r="H33">
        <v>5.0641258958140892E-8</v>
      </c>
      <c r="K33" t="s">
        <v>39</v>
      </c>
      <c r="L33">
        <f>AVERAGE(H22:H26,N22:N26)</f>
        <v>1.3649999999999998</v>
      </c>
      <c r="M33">
        <f>_xlfn.STDEV.P(H22:H26,N22:N26)</f>
        <v>0.47352402262187338</v>
      </c>
      <c r="N33">
        <f>L33+2*M33</f>
        <v>2.3120480452437464</v>
      </c>
    </row>
    <row r="34" spans="1:14" x14ac:dyDescent="0.25">
      <c r="C34" t="s">
        <v>21</v>
      </c>
      <c r="D34">
        <v>8.2025728507708631E-7</v>
      </c>
      <c r="E34">
        <v>9.5893988544328431E-7</v>
      </c>
      <c r="F34">
        <v>9.8103370364425726E-7</v>
      </c>
      <c r="G34">
        <v>7.367877931225165E-7</v>
      </c>
      <c r="H34">
        <v>8.0384959421325552E-7</v>
      </c>
    </row>
    <row r="35" spans="1:14" x14ac:dyDescent="0.25">
      <c r="A35">
        <v>1</v>
      </c>
      <c r="B35" s="1">
        <f>E22</f>
        <v>4.9675898536188526E-8</v>
      </c>
      <c r="C35">
        <f>D22</f>
        <v>8.2025728507708631E-7</v>
      </c>
      <c r="D35">
        <f t="shared" ref="D35:H39" si="5">($C35-D$34)/SQRT($B35^2+D$33^2)</f>
        <v>0</v>
      </c>
      <c r="E35">
        <f t="shared" si="5"/>
        <v>-2.1153704576619972</v>
      </c>
      <c r="F35">
        <f t="shared" si="5"/>
        <v>-2.4750287043290555</v>
      </c>
      <c r="G35">
        <f t="shared" si="5"/>
        <v>1.1261308185225818</v>
      </c>
      <c r="H35">
        <f t="shared" si="5"/>
        <v>0.23129547540381876</v>
      </c>
    </row>
    <row r="36" spans="1:14" x14ac:dyDescent="0.25">
      <c r="A36">
        <v>2</v>
      </c>
      <c r="B36">
        <f>E23</f>
        <v>4.2782605552504824E-8</v>
      </c>
      <c r="C36">
        <f>D23</f>
        <v>9.5893988544328431E-7</v>
      </c>
      <c r="D36">
        <f t="shared" si="5"/>
        <v>2.1153704576619972</v>
      </c>
      <c r="E36">
        <f t="shared" si="5"/>
        <v>0</v>
      </c>
      <c r="F36">
        <f t="shared" si="5"/>
        <v>-0.36913465619989483</v>
      </c>
      <c r="G36">
        <f t="shared" si="5"/>
        <v>3.18777622061243</v>
      </c>
      <c r="H36">
        <f t="shared" si="5"/>
        <v>2.3394333862354619</v>
      </c>
    </row>
    <row r="37" spans="1:14" x14ac:dyDescent="0.25">
      <c r="A37">
        <v>3</v>
      </c>
      <c r="B37">
        <f>E24</f>
        <v>4.1857266962875047E-8</v>
      </c>
      <c r="C37">
        <f>D24</f>
        <v>9.8103370364425726E-7</v>
      </c>
      <c r="D37">
        <f t="shared" si="5"/>
        <v>2.4750287043290555</v>
      </c>
      <c r="E37">
        <f t="shared" si="5"/>
        <v>0.36913465619989483</v>
      </c>
      <c r="F37">
        <f t="shared" si="5"/>
        <v>0</v>
      </c>
      <c r="G37">
        <f t="shared" si="5"/>
        <v>3.5334192696621516</v>
      </c>
      <c r="H37">
        <f t="shared" si="5"/>
        <v>2.6968418644269123</v>
      </c>
    </row>
    <row r="38" spans="1:14" x14ac:dyDescent="0.25">
      <c r="A38">
        <v>4</v>
      </c>
      <c r="B38">
        <f>E25</f>
        <v>5.5010621246520294E-8</v>
      </c>
      <c r="C38">
        <f>D25</f>
        <v>7.367877931225165E-7</v>
      </c>
      <c r="D38">
        <f t="shared" si="5"/>
        <v>-1.1261308185225818</v>
      </c>
      <c r="E38">
        <f t="shared" si="5"/>
        <v>-3.18777622061243</v>
      </c>
      <c r="F38">
        <f t="shared" si="5"/>
        <v>-3.5334192696621516</v>
      </c>
      <c r="G38">
        <f t="shared" si="5"/>
        <v>0</v>
      </c>
      <c r="H38">
        <f t="shared" si="5"/>
        <v>-0.89689561984472876</v>
      </c>
    </row>
    <row r="39" spans="1:14" x14ac:dyDescent="0.25">
      <c r="A39">
        <v>5</v>
      </c>
      <c r="B39">
        <f>E26</f>
        <v>5.0641258958140892E-8</v>
      </c>
      <c r="C39">
        <f>D26</f>
        <v>8.0384959421325552E-7</v>
      </c>
      <c r="D39">
        <f t="shared" si="5"/>
        <v>-0.23129547540381876</v>
      </c>
      <c r="E39">
        <f t="shared" si="5"/>
        <v>-2.3394333862354619</v>
      </c>
      <c r="F39">
        <f t="shared" si="5"/>
        <v>-2.6968418644269123</v>
      </c>
      <c r="G39">
        <f t="shared" si="5"/>
        <v>0.89689561984472876</v>
      </c>
      <c r="H39">
        <f t="shared" si="5"/>
        <v>0</v>
      </c>
    </row>
    <row r="41" spans="1:14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4" x14ac:dyDescent="0.25">
      <c r="B42" t="s">
        <v>26</v>
      </c>
      <c r="D42">
        <v>6.0793516572636176E-19</v>
      </c>
      <c r="E42">
        <v>6.0793516572636176E-19</v>
      </c>
      <c r="F42">
        <v>6.0793516572636176E-19</v>
      </c>
      <c r="G42">
        <v>6.0793516572636176E-19</v>
      </c>
      <c r="H42">
        <v>6.0793516572636176E-19</v>
      </c>
      <c r="I42">
        <v>7.63860763217687E-19</v>
      </c>
      <c r="J42">
        <v>7.63860763217687E-19</v>
      </c>
      <c r="K42">
        <v>7.63860763217687E-19</v>
      </c>
      <c r="L42">
        <v>7.63860763217687E-19</v>
      </c>
      <c r="M42">
        <v>7.63860763217687E-19</v>
      </c>
    </row>
    <row r="43" spans="1:14" x14ac:dyDescent="0.25">
      <c r="C43" t="s">
        <v>35</v>
      </c>
      <c r="D43">
        <v>2.0937970482969781E-18</v>
      </c>
      <c r="E43">
        <v>3.6100625770759178E-18</v>
      </c>
      <c r="F43">
        <v>2.3484915719694199E-18</v>
      </c>
      <c r="G43">
        <v>2.3097853074399886E-18</v>
      </c>
      <c r="H43">
        <v>2.3289280795713886E-18</v>
      </c>
      <c r="I43">
        <v>3.6509794300925895E-18</v>
      </c>
      <c r="J43">
        <v>3.7055200755659078E-18</v>
      </c>
      <c r="K43">
        <v>2.0306498602443436E-18</v>
      </c>
      <c r="L43">
        <v>2.828371550428426E-18</v>
      </c>
      <c r="M43">
        <v>2.2997942218021099E-18</v>
      </c>
    </row>
    <row r="44" spans="1:14" x14ac:dyDescent="0.25">
      <c r="A44">
        <v>1</v>
      </c>
      <c r="B44">
        <f>$H$29</f>
        <v>6.0793516572636176E-19</v>
      </c>
      <c r="C44" s="1">
        <f>J22</f>
        <v>2.0937970482969781E-18</v>
      </c>
      <c r="D44">
        <f>($C44-D$43)/SQRT($B44^2+D$42^2)</f>
        <v>0</v>
      </c>
      <c r="E44">
        <f t="shared" ref="E44:M44" si="6">($C44-E$43)/SQRT($B44^2+E$42^2)</f>
        <v>-1.7636118091605613</v>
      </c>
      <c r="F44">
        <f t="shared" si="6"/>
        <v>-0.29624248599714093</v>
      </c>
      <c r="G44">
        <f t="shared" si="6"/>
        <v>-0.25122212253377701</v>
      </c>
      <c r="H44">
        <f t="shared" si="6"/>
        <v>-0.27348762837706697</v>
      </c>
      <c r="I44">
        <f t="shared" si="6"/>
        <v>-1.5950615239690604</v>
      </c>
      <c r="J44">
        <f t="shared" si="6"/>
        <v>-1.6509288944864504</v>
      </c>
      <c r="K44">
        <f t="shared" si="6"/>
        <v>6.4683271007375504E-2</v>
      </c>
      <c r="L44">
        <f t="shared" si="6"/>
        <v>-0.75244334802163981</v>
      </c>
      <c r="M44">
        <f t="shared" si="6"/>
        <v>-0.21100814480415966</v>
      </c>
    </row>
    <row r="45" spans="1:14" x14ac:dyDescent="0.25">
      <c r="A45">
        <v>2</v>
      </c>
      <c r="B45">
        <f t="shared" ref="B45:B48" si="7">$H$29</f>
        <v>6.0793516572636176E-19</v>
      </c>
      <c r="C45" s="1">
        <f>J23</f>
        <v>3.6100625770759178E-18</v>
      </c>
      <c r="D45">
        <f t="shared" ref="D45:M53" si="8">($C45-D$43)/SQRT($B45^2+D$42^2)</f>
        <v>1.7636118091605613</v>
      </c>
      <c r="E45">
        <f t="shared" si="8"/>
        <v>0</v>
      </c>
      <c r="F45">
        <f t="shared" si="8"/>
        <v>1.4673693231634204</v>
      </c>
      <c r="G45">
        <f t="shared" si="8"/>
        <v>1.5123896866267843</v>
      </c>
      <c r="H45">
        <f t="shared" si="8"/>
        <v>1.4901241807834942</v>
      </c>
      <c r="I45">
        <f t="shared" si="8"/>
        <v>-4.1912173353472255E-2</v>
      </c>
      <c r="J45">
        <f t="shared" si="8"/>
        <v>-9.7779543870862212E-2</v>
      </c>
      <c r="K45">
        <f t="shared" si="8"/>
        <v>1.6178326216229637</v>
      </c>
      <c r="L45">
        <f t="shared" si="8"/>
        <v>0.80070600259394853</v>
      </c>
      <c r="M45">
        <f t="shared" si="8"/>
        <v>1.3421412058114286</v>
      </c>
    </row>
    <row r="46" spans="1:14" x14ac:dyDescent="0.25">
      <c r="A46">
        <v>3</v>
      </c>
      <c r="B46">
        <f t="shared" si="7"/>
        <v>6.0793516572636176E-19</v>
      </c>
      <c r="C46" s="1">
        <f>J24</f>
        <v>2.3484915719694199E-18</v>
      </c>
      <c r="D46">
        <f t="shared" si="8"/>
        <v>0.29624248599714093</v>
      </c>
      <c r="E46">
        <f t="shared" si="8"/>
        <v>-1.4673693231634204</v>
      </c>
      <c r="F46">
        <f t="shared" si="8"/>
        <v>0</v>
      </c>
      <c r="G46">
        <f t="shared" si="8"/>
        <v>4.502036346336391E-2</v>
      </c>
      <c r="H46">
        <f t="shared" si="8"/>
        <v>2.275485762007394E-2</v>
      </c>
      <c r="I46">
        <f t="shared" si="8"/>
        <v>-1.3341714446662869</v>
      </c>
      <c r="J46">
        <f t="shared" si="8"/>
        <v>-1.3900388151836769</v>
      </c>
      <c r="K46">
        <f t="shared" si="8"/>
        <v>0.32557335031014917</v>
      </c>
      <c r="L46">
        <f t="shared" si="8"/>
        <v>-0.49155326871886612</v>
      </c>
      <c r="M46">
        <f t="shared" si="8"/>
        <v>4.9881934498613993E-2</v>
      </c>
    </row>
    <row r="47" spans="1:14" x14ac:dyDescent="0.25">
      <c r="A47">
        <v>4</v>
      </c>
      <c r="B47">
        <f t="shared" si="7"/>
        <v>6.0793516572636176E-19</v>
      </c>
      <c r="C47" s="1">
        <f>J25</f>
        <v>2.3097853074399886E-18</v>
      </c>
      <c r="D47">
        <f t="shared" si="8"/>
        <v>0.25122212253377701</v>
      </c>
      <c r="E47">
        <f t="shared" si="8"/>
        <v>-1.5123896866267843</v>
      </c>
      <c r="F47">
        <f t="shared" si="8"/>
        <v>-4.502036346336391E-2</v>
      </c>
      <c r="G47">
        <f t="shared" si="8"/>
        <v>0</v>
      </c>
      <c r="H47">
        <f t="shared" si="8"/>
        <v>-2.2265505843289967E-2</v>
      </c>
      <c r="I47">
        <f t="shared" si="8"/>
        <v>-1.3738192560011879</v>
      </c>
      <c r="J47">
        <f t="shared" si="8"/>
        <v>-1.4296866265185779</v>
      </c>
      <c r="K47">
        <f t="shared" si="8"/>
        <v>0.28592553897524814</v>
      </c>
      <c r="L47">
        <f t="shared" si="8"/>
        <v>-0.53120108005376709</v>
      </c>
      <c r="M47">
        <f t="shared" si="8"/>
        <v>1.0234123163712963E-2</v>
      </c>
    </row>
    <row r="48" spans="1:14" x14ac:dyDescent="0.25">
      <c r="A48">
        <v>5</v>
      </c>
      <c r="B48">
        <f t="shared" si="7"/>
        <v>6.0793516572636176E-19</v>
      </c>
      <c r="C48" s="1">
        <f>J26</f>
        <v>2.3289280795713886E-18</v>
      </c>
      <c r="D48">
        <f t="shared" si="8"/>
        <v>0.27348762837706697</v>
      </c>
      <c r="E48">
        <f t="shared" si="8"/>
        <v>-1.4901241807834942</v>
      </c>
      <c r="F48">
        <f t="shared" si="8"/>
        <v>-2.275485762007394E-2</v>
      </c>
      <c r="G48">
        <f t="shared" si="8"/>
        <v>2.2265505843289967E-2</v>
      </c>
      <c r="H48">
        <f t="shared" si="8"/>
        <v>0</v>
      </c>
      <c r="I48">
        <f t="shared" si="8"/>
        <v>-1.3542108275692568</v>
      </c>
      <c r="J48">
        <f t="shared" si="8"/>
        <v>-1.4100781980866468</v>
      </c>
      <c r="K48">
        <f t="shared" si="8"/>
        <v>0.3055339674071792</v>
      </c>
      <c r="L48">
        <f t="shared" si="8"/>
        <v>-0.51159265162183609</v>
      </c>
      <c r="M48">
        <f t="shared" si="8"/>
        <v>2.9842551595644067E-2</v>
      </c>
    </row>
    <row r="49" spans="1:13" x14ac:dyDescent="0.25">
      <c r="A49">
        <v>6</v>
      </c>
      <c r="B49">
        <f>$M$29</f>
        <v>7.63860763217687E-19</v>
      </c>
      <c r="C49" s="1">
        <f>P22</f>
        <v>3.6509794300925895E-18</v>
      </c>
      <c r="D49">
        <f t="shared" si="8"/>
        <v>1.5950615239690604</v>
      </c>
      <c r="E49">
        <f t="shared" si="8"/>
        <v>4.1912173353472255E-2</v>
      </c>
      <c r="F49">
        <f t="shared" si="8"/>
        <v>1.3341714446662869</v>
      </c>
      <c r="G49">
        <f t="shared" si="8"/>
        <v>1.3738192560011879</v>
      </c>
      <c r="H49">
        <f t="shared" si="8"/>
        <v>1.3542108275692568</v>
      </c>
      <c r="I49">
        <f t="shared" si="8"/>
        <v>0</v>
      </c>
      <c r="J49">
        <f t="shared" si="8"/>
        <v>-5.0488337824840003E-2</v>
      </c>
      <c r="K49">
        <f t="shared" si="8"/>
        <v>1.4999409339608385</v>
      </c>
      <c r="L49">
        <f t="shared" si="8"/>
        <v>0.76148905399694067</v>
      </c>
      <c r="M49">
        <f t="shared" si="8"/>
        <v>1.2507936909817088</v>
      </c>
    </row>
    <row r="50" spans="1:13" x14ac:dyDescent="0.25">
      <c r="A50">
        <v>7</v>
      </c>
      <c r="B50">
        <f t="shared" ref="B50:B53" si="9">$M$29</f>
        <v>7.63860763217687E-19</v>
      </c>
      <c r="C50" s="1">
        <f>P23</f>
        <v>3.7055200755659078E-18</v>
      </c>
      <c r="D50">
        <f t="shared" si="8"/>
        <v>1.6509288944864504</v>
      </c>
      <c r="E50">
        <f t="shared" si="8"/>
        <v>9.7779543870862212E-2</v>
      </c>
      <c r="F50">
        <f t="shared" si="8"/>
        <v>1.3900388151836769</v>
      </c>
      <c r="G50">
        <f t="shared" si="8"/>
        <v>1.4296866265185779</v>
      </c>
      <c r="H50">
        <f t="shared" si="8"/>
        <v>1.4100781980866468</v>
      </c>
      <c r="I50">
        <f t="shared" si="8"/>
        <v>5.0488337824840003E-2</v>
      </c>
      <c r="J50">
        <f t="shared" si="8"/>
        <v>0</v>
      </c>
      <c r="K50">
        <f t="shared" si="8"/>
        <v>1.5504292717856787</v>
      </c>
      <c r="L50">
        <f t="shared" si="8"/>
        <v>0.81197739182178064</v>
      </c>
      <c r="M50">
        <f t="shared" si="8"/>
        <v>1.301282028806549</v>
      </c>
    </row>
    <row r="51" spans="1:13" x14ac:dyDescent="0.25">
      <c r="A51">
        <v>8</v>
      </c>
      <c r="B51">
        <f t="shared" si="9"/>
        <v>7.63860763217687E-19</v>
      </c>
      <c r="C51" s="1">
        <f>P24</f>
        <v>2.0306498602443436E-18</v>
      </c>
      <c r="D51">
        <f t="shared" si="8"/>
        <v>-6.4683271007375504E-2</v>
      </c>
      <c r="E51">
        <f t="shared" si="8"/>
        <v>-1.6178326216229637</v>
      </c>
      <c r="F51">
        <f t="shared" si="8"/>
        <v>-0.32557335031014917</v>
      </c>
      <c r="G51">
        <f t="shared" si="8"/>
        <v>-0.28592553897524814</v>
      </c>
      <c r="H51">
        <f t="shared" si="8"/>
        <v>-0.3055339674071792</v>
      </c>
      <c r="I51">
        <f t="shared" si="8"/>
        <v>-1.4999409339608385</v>
      </c>
      <c r="J51">
        <f t="shared" si="8"/>
        <v>-1.5504292717856787</v>
      </c>
      <c r="K51">
        <f t="shared" si="8"/>
        <v>0</v>
      </c>
      <c r="L51">
        <f t="shared" si="8"/>
        <v>-0.73845187996389794</v>
      </c>
      <c r="M51">
        <f t="shared" si="8"/>
        <v>-0.24914724297912971</v>
      </c>
    </row>
    <row r="52" spans="1:13" x14ac:dyDescent="0.25">
      <c r="A52">
        <v>9</v>
      </c>
      <c r="B52">
        <f t="shared" si="9"/>
        <v>7.63860763217687E-19</v>
      </c>
      <c r="C52" s="1">
        <f>P25</f>
        <v>2.828371550428426E-18</v>
      </c>
      <c r="D52">
        <f t="shared" si="8"/>
        <v>0.75244334802163981</v>
      </c>
      <c r="E52">
        <f t="shared" si="8"/>
        <v>-0.80070600259394853</v>
      </c>
      <c r="F52">
        <f t="shared" si="8"/>
        <v>0.49155326871886612</v>
      </c>
      <c r="G52">
        <f t="shared" si="8"/>
        <v>0.53120108005376709</v>
      </c>
      <c r="H52">
        <f t="shared" si="8"/>
        <v>0.51159265162183609</v>
      </c>
      <c r="I52">
        <f t="shared" si="8"/>
        <v>-0.76148905399694067</v>
      </c>
      <c r="J52">
        <f t="shared" si="8"/>
        <v>-0.81197739182178064</v>
      </c>
      <c r="K52">
        <f t="shared" si="8"/>
        <v>0.73845187996389794</v>
      </c>
      <c r="L52">
        <f t="shared" si="8"/>
        <v>0</v>
      </c>
      <c r="M52">
        <f t="shared" si="8"/>
        <v>0.48930463698476823</v>
      </c>
    </row>
    <row r="53" spans="1:13" x14ac:dyDescent="0.25">
      <c r="A53">
        <v>10</v>
      </c>
      <c r="B53">
        <f t="shared" si="9"/>
        <v>7.63860763217687E-19</v>
      </c>
      <c r="C53" s="1">
        <f t="shared" ref="C53" si="10">P26</f>
        <v>2.2997942218021099E-18</v>
      </c>
      <c r="D53">
        <f t="shared" si="8"/>
        <v>0.21100814480415966</v>
      </c>
      <c r="E53">
        <f t="shared" si="8"/>
        <v>-1.3421412058114286</v>
      </c>
      <c r="F53">
        <f t="shared" si="8"/>
        <v>-4.9881934498613993E-2</v>
      </c>
      <c r="G53">
        <f t="shared" si="8"/>
        <v>-1.0234123163712963E-2</v>
      </c>
      <c r="H53">
        <f t="shared" si="8"/>
        <v>-2.9842551595644067E-2</v>
      </c>
      <c r="I53">
        <f t="shared" si="8"/>
        <v>-1.2507936909817088</v>
      </c>
      <c r="J53">
        <f t="shared" si="8"/>
        <v>-1.301282028806549</v>
      </c>
      <c r="K53">
        <f t="shared" si="8"/>
        <v>0.24914724297912971</v>
      </c>
      <c r="L53">
        <f t="shared" si="8"/>
        <v>-0.48930463698476823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60" priority="4" operator="greaterThan">
      <formula>1.96</formula>
    </cfRule>
  </conditionalFormatting>
  <conditionalFormatting sqref="D35:H39">
    <cfRule type="cellIs" dxfId="59" priority="3" operator="notBetween">
      <formula>-1.96</formula>
      <formula>1.96</formula>
    </cfRule>
  </conditionalFormatting>
  <conditionalFormatting sqref="I22:I26">
    <cfRule type="cellIs" dxfId="58" priority="2" operator="notBetween">
      <formula>$J$19</formula>
      <formula>$K$19</formula>
    </cfRule>
  </conditionalFormatting>
  <conditionalFormatting sqref="O22:O26">
    <cfRule type="cellIs" dxfId="57" priority="1" operator="notBetween">
      <formula>$P$19</formula>
      <formula>$Q$19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zoomScaleNormal="100" workbookViewId="0">
      <selection activeCell="P22" sqref="P22:P26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AVERAGE(G29,L29)/B11</f>
        <v>23.053287981416052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1.8238250000000001E-5</v>
      </c>
    </row>
    <row r="17" spans="1:17" x14ac:dyDescent="0.25">
      <c r="A17" t="s">
        <v>23</v>
      </c>
      <c r="B17">
        <v>2.29</v>
      </c>
      <c r="D17" t="s">
        <v>1</v>
      </c>
      <c r="E17" s="2">
        <f>E16/(1+$B$10/($B$7*B29))</f>
        <v>1.6572495299055845E-5</v>
      </c>
    </row>
    <row r="18" spans="1:17" x14ac:dyDescent="0.25">
      <c r="A18" t="s">
        <v>24</v>
      </c>
      <c r="B18">
        <v>20</v>
      </c>
      <c r="D18" t="s">
        <v>32</v>
      </c>
      <c r="E18" s="1">
        <f>B16/B5</f>
        <v>40915.208613728122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AVERAGE(I22:I26)</f>
        <v>5.6325512909009639E-4</v>
      </c>
      <c r="I19">
        <f>_xlfn.STDEV.S(I22:I26)</f>
        <v>9.3486579536474575E-5</v>
      </c>
      <c r="J19" s="1">
        <f>H19-2*I19</f>
        <v>3.7628197001714724E-4</v>
      </c>
      <c r="K19" s="1">
        <f>H19+2*I19</f>
        <v>7.5022828816304554E-4</v>
      </c>
      <c r="M19" t="s">
        <v>44</v>
      </c>
      <c r="N19" s="1">
        <f>AVERAGE(O22:O26)</f>
        <v>6.926490449546595E-4</v>
      </c>
      <c r="O19">
        <f>_xlfn.STDEV.S(O22:O26)</f>
        <v>1.0567674271756162E-5</v>
      </c>
      <c r="P19" s="1">
        <f>N19-2*O19</f>
        <v>6.7151369641114717E-4</v>
      </c>
      <c r="Q19" s="1">
        <f>N19+2*O19</f>
        <v>7.1378439349817184E-4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39</v>
      </c>
      <c r="I21" t="s">
        <v>20</v>
      </c>
      <c r="J21" t="s">
        <v>22</v>
      </c>
      <c r="M21" t="s">
        <v>38</v>
      </c>
      <c r="O21" t="s">
        <v>20</v>
      </c>
      <c r="P21" t="s">
        <v>22</v>
      </c>
    </row>
    <row r="22" spans="1:17" x14ac:dyDescent="0.25">
      <c r="A22">
        <v>1</v>
      </c>
      <c r="B22">
        <v>5.94</v>
      </c>
      <c r="C22" s="1">
        <f>B12/B22</f>
        <v>8.4175084175084166E-5</v>
      </c>
      <c r="D22">
        <f>(($B$10/(2*$B$7))^2+9*E16*C22/(2*$B$6*($B$9-$B$8)))^(1/2)-$B$10/(2*$B$7)</f>
        <v>8.6621996494874928E-7</v>
      </c>
      <c r="E22" s="1">
        <f>(D22+$B$10/(2*$B$7))^(-1)*9*E16/(2*$B$6*($B$9-$B$8))*1/2*C28</f>
        <v>2.326294400159667E-8</v>
      </c>
      <c r="F22" s="1"/>
      <c r="G22">
        <v>34</v>
      </c>
      <c r="H22">
        <f>G22-B26</f>
        <v>0.90999999999999659</v>
      </c>
      <c r="I22" s="1">
        <f>$B$12/(G22-B26)</f>
        <v>5.4945054945055151E-4</v>
      </c>
      <c r="J22" s="1">
        <f>(4*PI()/3)*B29^3*($B$9-$B$8)*($B$6/E18)*(1+ABS(I22)/B28)</f>
        <v>3.681751696632955E-18</v>
      </c>
      <c r="K22" s="15">
        <f>J22/$B$11</f>
        <v>22.97968682524499</v>
      </c>
      <c r="M22">
        <v>38.380000000000003</v>
      </c>
      <c r="N22">
        <f>M22-G26</f>
        <v>0.73000000000000398</v>
      </c>
      <c r="O22" s="1">
        <f>B12/(M22-G26)</f>
        <v>6.8493150684931139E-4</v>
      </c>
      <c r="P22" s="1">
        <f>-(4*PI()/3)*B29^3*($B$9-$B$8)*($B$6/$E$18)*(1-ABS(O22)/B28)</f>
        <v>3.5787454189205074E-18</v>
      </c>
      <c r="Q22" s="15">
        <f>P22/$B$11</f>
        <v>22.336772202558461</v>
      </c>
    </row>
    <row r="23" spans="1:17" x14ac:dyDescent="0.25">
      <c r="A23">
        <v>2</v>
      </c>
      <c r="B23">
        <v>13.44</v>
      </c>
      <c r="C23" s="1">
        <f>$B$12/(B23-B22)</f>
        <v>6.666666666666667E-5</v>
      </c>
      <c r="D23">
        <f>(($B$10/(2*$B$7))^2+9*E16*C23/(2*$B$6*($B$9-$B$8)))^(1/2)-$B$10/(2*$B$7)</f>
        <v>7.6664481089513925E-7</v>
      </c>
      <c r="E23" s="1">
        <f>(D23+$B$10/(2*$B$7))^(-1)*9*E16/(2*$B$6*($B$9-$B$8))*1/2*C28</f>
        <v>2.6132955604292037E-8</v>
      </c>
      <c r="F23" s="1"/>
      <c r="G23">
        <v>34.799999999999997</v>
      </c>
      <c r="H23">
        <f>G23-G22</f>
        <v>0.79999999999999716</v>
      </c>
      <c r="I23" s="1">
        <f>$B$12/(G23-G22)</f>
        <v>6.2500000000000218E-4</v>
      </c>
      <c r="J23" s="1">
        <f>(4*PI()/3)*B29^3*($B$9-$B$8)*($B$6/E18)*(1+ABS(I23)/B28)</f>
        <v>4.1261251100315409E-18</v>
      </c>
      <c r="K23" s="15">
        <f t="shared" ref="K23:K25" si="0">J23/$B$11</f>
        <v>25.753247541657053</v>
      </c>
      <c r="M23">
        <v>39.11</v>
      </c>
      <c r="N23">
        <f>M23-M22</f>
        <v>0.72999999999999687</v>
      </c>
      <c r="O23" s="1">
        <f>$B$12/(M23-M22)</f>
        <v>6.84931506849318E-4</v>
      </c>
      <c r="P23" s="1">
        <f>-(4*PI()/3)*B29^3*($B$9-$B$8)*($B$6/$E$18)*(1-ABS(O23)/B28)</f>
        <v>3.5787454189205466E-18</v>
      </c>
      <c r="Q23" s="15">
        <f t="shared" ref="Q23:Q25" si="1">P23/$B$11</f>
        <v>22.336772202558706</v>
      </c>
    </row>
    <row r="24" spans="1:17" x14ac:dyDescent="0.25">
      <c r="A24">
        <v>3</v>
      </c>
      <c r="B24">
        <v>20.309999999999999</v>
      </c>
      <c r="C24" s="1">
        <f t="shared" ref="C24:C26" si="2">$B$12/(B24-B23)</f>
        <v>7.2780203784570603E-5</v>
      </c>
      <c r="D24">
        <f>(($B$10/(2*$B$7))^2+9*E16*C24/(2*$B$6*($B$9-$B$8)))^(1/2)-$B$10/(2*$B$7)</f>
        <v>8.0275133670171559E-7</v>
      </c>
      <c r="E24" s="1">
        <f>(D24+$B$10/(2*$B$7))^(-1)*9*E16/(2*$B$6*($B$9-$B$8))*1/2*C28</f>
        <v>2.501394085407674E-8</v>
      </c>
      <c r="F24" s="1"/>
      <c r="G24">
        <v>35.630000000000003</v>
      </c>
      <c r="H24">
        <f t="shared" ref="H24:H26" si="3">G24-G23</f>
        <v>0.8300000000000054</v>
      </c>
      <c r="I24" s="1">
        <f>$B$12/(G24-G23)</f>
        <v>6.0240963855421291E-4</v>
      </c>
      <c r="J24" s="1">
        <f>(4*PI()/3)*B29^3*($B$9-$B$8)*($B$6/E18)*(1+ABS(I24)/B28)</f>
        <v>3.9932511320930455E-18</v>
      </c>
      <c r="K24" s="15">
        <f t="shared" si="0"/>
        <v>24.923913395347419</v>
      </c>
      <c r="M24">
        <v>39.82</v>
      </c>
      <c r="N24">
        <f t="shared" ref="N24:N26" si="4">M24-M23</f>
        <v>0.71000000000000085</v>
      </c>
      <c r="O24" s="1">
        <f>$B$12/(M24-M23)</f>
        <v>7.0422535211267523E-4</v>
      </c>
      <c r="P24" s="1">
        <f>-(4*PI()/3)*B29^3*($B$9-$B$8)*($B$6/E18)*(1-ABS(O24)/B28)</f>
        <v>3.6922296575868532E-18</v>
      </c>
      <c r="Q24" s="15">
        <f t="shared" si="1"/>
        <v>23.045085114192048</v>
      </c>
    </row>
    <row r="25" spans="1:17" x14ac:dyDescent="0.25">
      <c r="A25">
        <v>4</v>
      </c>
      <c r="B25">
        <v>27.48</v>
      </c>
      <c r="C25" s="1">
        <f t="shared" si="2"/>
        <v>6.9735006973500684E-5</v>
      </c>
      <c r="D25">
        <f>(($B$10/(2*$B$7))^2+9*E16*C25/(2*$B$6*($B$9-$B$8)))^(1/2)-$B$10/(2*$B$7)</f>
        <v>7.8496386238245675E-7</v>
      </c>
      <c r="E25" s="1">
        <f>(D25+$B$10/(2*$B$7))^(-1)*9*E16/(2*$B$6*($B$9-$B$8))*1/2*C28</f>
        <v>2.5552976340491204E-8</v>
      </c>
      <c r="F25" s="1"/>
      <c r="G25">
        <v>36.42</v>
      </c>
      <c r="H25">
        <f t="shared" si="3"/>
        <v>0.78999999999999915</v>
      </c>
      <c r="I25" s="1">
        <f>$B$12/(G25-G24)</f>
        <v>6.3291139240506395E-4</v>
      </c>
      <c r="J25" s="1">
        <f>(4*PI()/3)*B29^3*($B$9-$B$8)*($B$6/E18)*(1+ABS(I25)/B28)</f>
        <v>4.1726590347947904E-18</v>
      </c>
      <c r="K25" s="15">
        <f t="shared" si="0"/>
        <v>26.043689457875065</v>
      </c>
      <c r="M25">
        <v>40.53</v>
      </c>
      <c r="N25">
        <f t="shared" si="4"/>
        <v>0.71000000000000085</v>
      </c>
      <c r="O25" s="1">
        <f>$B$12/(M25-M24)</f>
        <v>7.0422535211267523E-4</v>
      </c>
      <c r="P25" s="1">
        <f>-(4*PI()/3)*B29^3*($B$9-$B$8)*($B$6/E18)*(1-ABS(O25)/B28)</f>
        <v>3.6922296575868532E-18</v>
      </c>
      <c r="Q25" s="15">
        <f t="shared" si="1"/>
        <v>23.045085114192048</v>
      </c>
    </row>
    <row r="26" spans="1:17" x14ac:dyDescent="0.25">
      <c r="A26">
        <v>5</v>
      </c>
      <c r="B26">
        <v>33.090000000000003</v>
      </c>
      <c r="C26" s="1">
        <f t="shared" si="2"/>
        <v>8.9126559714794966E-5</v>
      </c>
      <c r="E26" s="1">
        <f>(D26+$B$10/(2*$B$7))^(-1)*9*E16/(2*$B$6*($B$9-$B$8))*1/2*C28</f>
        <v>5.2125867544774004E-7</v>
      </c>
      <c r="F26" s="1"/>
      <c r="G26">
        <v>37.65</v>
      </c>
      <c r="H26">
        <f t="shared" si="3"/>
        <v>1.2299999999999969</v>
      </c>
      <c r="I26">
        <f>$B$12/(G26-G25)</f>
        <v>4.0650406504065144E-4</v>
      </c>
      <c r="J26">
        <f>(4*PI()/3)*B29^3*($B$9-$B$8)*($B$6/E18)*(1+ABS(I26)/B28)</f>
        <v>2.8409564724641551E-18</v>
      </c>
      <c r="M26">
        <v>41.26</v>
      </c>
      <c r="N26">
        <f t="shared" si="4"/>
        <v>0.72999999999999687</v>
      </c>
      <c r="O26" s="1">
        <f>$B$12/(M26-M25)</f>
        <v>6.84931506849318E-4</v>
      </c>
      <c r="P26" s="1">
        <f>-(4*PI()/3)*B29^3*($B$9-$B$8)*($B$6/E18)*(1-ABS(O26)/B28)</f>
        <v>3.5787454189205466E-18</v>
      </c>
      <c r="Q26" s="15">
        <f>P26/$B$11</f>
        <v>22.336772202558706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L27" s="1" t="s">
        <v>28</v>
      </c>
      <c r="M27" s="1" t="s">
        <v>29</v>
      </c>
      <c r="N27" t="s">
        <v>34</v>
      </c>
    </row>
    <row r="28" spans="1:17" x14ac:dyDescent="0.25">
      <c r="A28" t="s">
        <v>27</v>
      </c>
      <c r="B28" s="1">
        <f>AVERAGE(C22:C26)</f>
        <v>7.6496704262923418E-5</v>
      </c>
      <c r="C28" s="1">
        <f>_xlfn.STDEV.S(C22:C26)/SQRT(COUNT(C22:C26))</f>
        <v>4.3280095424678061E-6</v>
      </c>
      <c r="F28" t="str">
        <f>K28</f>
        <v>Velocità</v>
      </c>
      <c r="G28" s="1">
        <f>AVERAGE(I22:I26)</f>
        <v>5.6325512909009639E-4</v>
      </c>
      <c r="H28" s="1">
        <f>_xlfn.STDEV.S(I22:I26)</f>
        <v>9.3486579536474575E-5</v>
      </c>
      <c r="I28" s="2">
        <f>H28/SQRT(5)</f>
        <v>4.1808469365499582E-5</v>
      </c>
      <c r="J28" s="2"/>
      <c r="K28" t="s">
        <v>27</v>
      </c>
      <c r="L28" s="1">
        <f>AVERAGE(O22:O26)</f>
        <v>6.926490449546595E-4</v>
      </c>
      <c r="M28" s="1">
        <f>_xlfn.STDEV.S(O22:O26)</f>
        <v>1.0567674271756162E-5</v>
      </c>
      <c r="N28" s="2">
        <f>M28/SQRT(5)</f>
        <v>4.7260076071444728E-6</v>
      </c>
    </row>
    <row r="29" spans="1:17" x14ac:dyDescent="0.25">
      <c r="A29" t="s">
        <v>5</v>
      </c>
      <c r="B29">
        <f>AVERAGE(D22:D26)</f>
        <v>8.0514499373201527E-7</v>
      </c>
      <c r="C29">
        <f>_xlfn.STDEV.S(D22:D26)/SQRT(COUNT(D22:D26))</f>
        <v>2.1651450767644123E-8</v>
      </c>
      <c r="D29" s="1">
        <f>(B29+$B$10/(2*$B$7))^(-1)*9*E16/(2*$B$6*($B$9-$B$8))*1/2*C28</f>
        <v>2.4943134126420065E-8</v>
      </c>
      <c r="F29" t="str">
        <f>K29</f>
        <v>Carica</v>
      </c>
      <c r="G29">
        <f>AVERAGE(J22:J26)</f>
        <v>3.7629486892032973E-18</v>
      </c>
      <c r="H29">
        <f>_xlfn.STDEV.S(J22:J26)</f>
        <v>5.4987759875751566E-19</v>
      </c>
      <c r="I29" s="2">
        <f>H29/SQRT(5)</f>
        <v>2.4591273802523178E-19</v>
      </c>
      <c r="J29" s="2"/>
      <c r="K29" t="s">
        <v>33</v>
      </c>
      <c r="L29">
        <f>AVERAGE(P22:P26)</f>
        <v>3.6241391143870615E-18</v>
      </c>
      <c r="M29">
        <f>_xlfn.STDEV.S(P22:P26)</f>
        <v>6.2157877438843246E-20</v>
      </c>
      <c r="N29" s="2">
        <f>M29/SQRT(5)</f>
        <v>2.7797847858070804E-20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  <c r="L32" t="s">
        <v>40</v>
      </c>
      <c r="M32" t="s">
        <v>41</v>
      </c>
      <c r="N32" t="s">
        <v>42</v>
      </c>
    </row>
    <row r="33" spans="1:14" x14ac:dyDescent="0.25">
      <c r="B33" t="s">
        <v>26</v>
      </c>
      <c r="D33">
        <f t="array" ref="D33:H34">TRANSPOSE(B35:C39)</f>
        <v>2.326294400159667E-8</v>
      </c>
      <c r="E33">
        <v>2.6132955604292037E-8</v>
      </c>
      <c r="F33">
        <v>2.501394085407674E-8</v>
      </c>
      <c r="G33">
        <v>2.5552976340491204E-8</v>
      </c>
      <c r="H33">
        <v>5.2125867544774004E-7</v>
      </c>
      <c r="K33" t="s">
        <v>39</v>
      </c>
      <c r="L33">
        <f>AVERAGE(H22:H26,N22:N26)</f>
        <v>0.8169999999999995</v>
      </c>
      <c r="M33">
        <f>_xlfn.STDEV.P(H22:H26,N22:N26)</f>
        <v>0.15033628969746346</v>
      </c>
      <c r="N33">
        <f>L33+2*M33</f>
        <v>1.1176725793949265</v>
      </c>
    </row>
    <row r="34" spans="1:14" x14ac:dyDescent="0.25">
      <c r="C34" t="s">
        <v>21</v>
      </c>
      <c r="D34">
        <v>8.6621996494874928E-7</v>
      </c>
      <c r="E34">
        <v>7.6664481089513925E-7</v>
      </c>
      <c r="F34">
        <v>8.0275133670171559E-7</v>
      </c>
      <c r="G34">
        <v>7.8496386238245675E-7</v>
      </c>
      <c r="H34">
        <v>0</v>
      </c>
      <c r="L34" t="s">
        <v>40</v>
      </c>
      <c r="M34" t="s">
        <v>41</v>
      </c>
      <c r="N34" t="s">
        <v>42</v>
      </c>
    </row>
    <row r="35" spans="1:14" x14ac:dyDescent="0.25">
      <c r="A35">
        <v>1</v>
      </c>
      <c r="B35" s="1">
        <f>E22</f>
        <v>2.326294400159667E-8</v>
      </c>
      <c r="C35">
        <f>D22</f>
        <v>8.6621996494874928E-7</v>
      </c>
      <c r="D35">
        <f t="shared" ref="D35:H39" si="5">($C35-D$34)/SQRT($B35^2+D$33^2)</f>
        <v>0</v>
      </c>
      <c r="E35">
        <f t="shared" si="5"/>
        <v>2.8460548102307794</v>
      </c>
      <c r="F35">
        <f t="shared" si="5"/>
        <v>1.8580157908415214</v>
      </c>
      <c r="G35">
        <f t="shared" si="5"/>
        <v>2.3514305354911622</v>
      </c>
      <c r="H35">
        <f t="shared" si="5"/>
        <v>1.6601328079452042</v>
      </c>
      <c r="K35" t="s">
        <v>39</v>
      </c>
      <c r="L35">
        <f>AVERAGE(H22:H25,N22:N26)</f>
        <v>0.77111111111111086</v>
      </c>
      <c r="M35">
        <f>_xlfn.STDEV.P(H22:H25,N22:N26)</f>
        <v>6.3673550141752439E-2</v>
      </c>
      <c r="N35">
        <f>L35+2*M35</f>
        <v>0.89845821139461579</v>
      </c>
    </row>
    <row r="36" spans="1:14" x14ac:dyDescent="0.25">
      <c r="A36">
        <v>2</v>
      </c>
      <c r="B36">
        <f>E23</f>
        <v>2.6132955604292037E-8</v>
      </c>
      <c r="C36">
        <f>D23</f>
        <v>7.6664481089513925E-7</v>
      </c>
      <c r="D36">
        <f t="shared" si="5"/>
        <v>-2.8460548102307794</v>
      </c>
      <c r="E36">
        <f t="shared" si="5"/>
        <v>0</v>
      </c>
      <c r="F36">
        <f t="shared" si="5"/>
        <v>-0.99810791055675829</v>
      </c>
      <c r="G36">
        <f t="shared" si="5"/>
        <v>-0.50120834023719951</v>
      </c>
      <c r="H36">
        <f t="shared" si="5"/>
        <v>1.4689120722405955</v>
      </c>
    </row>
    <row r="37" spans="1:14" x14ac:dyDescent="0.25">
      <c r="A37">
        <v>3</v>
      </c>
      <c r="B37">
        <f>E24</f>
        <v>2.501394085407674E-8</v>
      </c>
      <c r="C37">
        <f>D24</f>
        <v>8.0275133670171559E-7</v>
      </c>
      <c r="D37">
        <f t="shared" si="5"/>
        <v>-1.8580157908415214</v>
      </c>
      <c r="E37">
        <f t="shared" si="5"/>
        <v>0.99810791055675829</v>
      </c>
      <c r="F37">
        <f t="shared" si="5"/>
        <v>0</v>
      </c>
      <c r="G37">
        <f t="shared" si="5"/>
        <v>0.4974370539776013</v>
      </c>
      <c r="H37">
        <f t="shared" si="5"/>
        <v>1.5382547607167882</v>
      </c>
    </row>
    <row r="38" spans="1:14" x14ac:dyDescent="0.25">
      <c r="A38">
        <v>4</v>
      </c>
      <c r="B38">
        <f>E25</f>
        <v>2.5552976340491204E-8</v>
      </c>
      <c r="C38">
        <f>D25</f>
        <v>7.8496386238245675E-7</v>
      </c>
      <c r="D38">
        <f t="shared" si="5"/>
        <v>-2.3514305354911622</v>
      </c>
      <c r="E38">
        <f t="shared" si="5"/>
        <v>0.50120834023719951</v>
      </c>
      <c r="F38">
        <f t="shared" si="5"/>
        <v>-0.4974370539776013</v>
      </c>
      <c r="G38">
        <f t="shared" si="5"/>
        <v>0</v>
      </c>
      <c r="H38">
        <f t="shared" si="5"/>
        <v>1.5040946321747459</v>
      </c>
    </row>
    <row r="39" spans="1:14" x14ac:dyDescent="0.25">
      <c r="A39">
        <v>5</v>
      </c>
      <c r="B39">
        <f>E26</f>
        <v>5.2125867544774004E-7</v>
      </c>
      <c r="C39">
        <f>D26</f>
        <v>0</v>
      </c>
      <c r="D39">
        <f t="shared" si="5"/>
        <v>-1.6601328079452042</v>
      </c>
      <c r="E39">
        <f t="shared" si="5"/>
        <v>-1.4689120722405955</v>
      </c>
      <c r="F39">
        <f t="shared" si="5"/>
        <v>-1.5382547607167882</v>
      </c>
      <c r="G39">
        <f t="shared" si="5"/>
        <v>-1.5040946321747459</v>
      </c>
      <c r="H39">
        <f t="shared" si="5"/>
        <v>0</v>
      </c>
    </row>
    <row r="41" spans="1:14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4" x14ac:dyDescent="0.25">
      <c r="B42" t="s">
        <v>26</v>
      </c>
      <c r="D42">
        <v>5.4987759875751566E-19</v>
      </c>
      <c r="E42">
        <v>5.4987759875751566E-19</v>
      </c>
      <c r="F42">
        <v>5.4987759875751566E-19</v>
      </c>
      <c r="G42">
        <v>5.4987759875751566E-19</v>
      </c>
      <c r="H42">
        <v>5.4987759875751566E-19</v>
      </c>
      <c r="I42">
        <v>6.2157877438843246E-20</v>
      </c>
      <c r="J42">
        <v>6.2157877438843246E-20</v>
      </c>
      <c r="K42">
        <v>6.2157877438843246E-20</v>
      </c>
      <c r="L42">
        <v>6.2157877438843246E-20</v>
      </c>
      <c r="M42">
        <v>6.2157877438843246E-20</v>
      </c>
    </row>
    <row r="43" spans="1:14" x14ac:dyDescent="0.25">
      <c r="C43" t="s">
        <v>35</v>
      </c>
      <c r="D43">
        <v>3.681751696632955E-18</v>
      </c>
      <c r="E43">
        <v>4.1261251100315409E-18</v>
      </c>
      <c r="F43">
        <v>3.9932511320930455E-18</v>
      </c>
      <c r="G43">
        <v>4.1726590347947904E-18</v>
      </c>
      <c r="H43">
        <v>2.8409564724641551E-18</v>
      </c>
      <c r="I43">
        <v>3.5787454189205074E-18</v>
      </c>
      <c r="J43">
        <v>3.5787454189205466E-18</v>
      </c>
      <c r="K43">
        <v>3.6922296575868532E-18</v>
      </c>
      <c r="L43">
        <v>3.6922296575868532E-18</v>
      </c>
      <c r="M43">
        <v>3.5787454189205466E-18</v>
      </c>
    </row>
    <row r="44" spans="1:14" x14ac:dyDescent="0.25">
      <c r="A44">
        <v>1</v>
      </c>
      <c r="B44">
        <f>$H$29</f>
        <v>5.4987759875751566E-19</v>
      </c>
      <c r="C44" s="1">
        <f>J22</f>
        <v>3.681751696632955E-18</v>
      </c>
      <c r="D44">
        <f>($C44-D$43)/SQRT($B44^2+D$42^2)</f>
        <v>0</v>
      </c>
      <c r="E44">
        <f t="shared" ref="E44:M44" si="6">($C44-E$43)/SQRT($B44^2+E$42^2)</f>
        <v>-0.57143526978213421</v>
      </c>
      <c r="F44">
        <f t="shared" si="6"/>
        <v>-0.40056798757998274</v>
      </c>
      <c r="G44">
        <f t="shared" si="6"/>
        <v>-0.63127486650269182</v>
      </c>
      <c r="H44">
        <f t="shared" si="6"/>
        <v>1.0812079014355298</v>
      </c>
      <c r="I44">
        <f t="shared" si="6"/>
        <v>0.18614036148233254</v>
      </c>
      <c r="J44">
        <f t="shared" si="6"/>
        <v>0.18614036148226154</v>
      </c>
      <c r="K44">
        <f t="shared" si="6"/>
        <v>-1.8934491012295645E-2</v>
      </c>
      <c r="L44">
        <f t="shared" si="6"/>
        <v>-1.8934491012295645E-2</v>
      </c>
      <c r="M44">
        <f t="shared" si="6"/>
        <v>0.18614036148226154</v>
      </c>
    </row>
    <row r="45" spans="1:14" x14ac:dyDescent="0.25">
      <c r="A45">
        <v>2</v>
      </c>
      <c r="B45">
        <f t="shared" ref="B45:B48" si="7">$H$29</f>
        <v>5.4987759875751566E-19</v>
      </c>
      <c r="C45" s="1">
        <f>J23</f>
        <v>4.1261251100315409E-18</v>
      </c>
      <c r="D45">
        <f t="shared" ref="D45:M53" si="8">($C45-D$43)/SQRT($B45^2+D$42^2)</f>
        <v>0.57143526978213421</v>
      </c>
      <c r="E45">
        <f t="shared" si="8"/>
        <v>0</v>
      </c>
      <c r="F45">
        <f t="shared" si="8"/>
        <v>0.1708672822021515</v>
      </c>
      <c r="G45">
        <f t="shared" si="8"/>
        <v>-5.9839596720557518E-2</v>
      </c>
      <c r="H45">
        <f t="shared" si="8"/>
        <v>1.6526431712176641</v>
      </c>
      <c r="I45">
        <f t="shared" si="8"/>
        <v>0.98915770799843816</v>
      </c>
      <c r="J45">
        <f t="shared" si="8"/>
        <v>0.98915770799836711</v>
      </c>
      <c r="K45">
        <f t="shared" si="8"/>
        <v>0.78408285550380996</v>
      </c>
      <c r="L45">
        <f t="shared" si="8"/>
        <v>0.78408285550380996</v>
      </c>
      <c r="M45">
        <f t="shared" si="8"/>
        <v>0.98915770799836711</v>
      </c>
    </row>
    <row r="46" spans="1:14" x14ac:dyDescent="0.25">
      <c r="A46">
        <v>3</v>
      </c>
      <c r="B46">
        <f t="shared" si="7"/>
        <v>5.4987759875751566E-19</v>
      </c>
      <c r="C46" s="1">
        <f>J24</f>
        <v>3.9932511320930455E-18</v>
      </c>
      <c r="D46">
        <f t="shared" si="8"/>
        <v>0.40056798757998274</v>
      </c>
      <c r="E46">
        <f t="shared" si="8"/>
        <v>-0.1708672822021515</v>
      </c>
      <c r="F46">
        <f t="shared" si="8"/>
        <v>0</v>
      </c>
      <c r="G46">
        <f t="shared" si="8"/>
        <v>-0.23070687892270902</v>
      </c>
      <c r="H46">
        <f t="shared" si="8"/>
        <v>1.4817758890155126</v>
      </c>
      <c r="I46">
        <f t="shared" si="8"/>
        <v>0.74904408740812556</v>
      </c>
      <c r="J46">
        <f t="shared" si="8"/>
        <v>0.74904408740805462</v>
      </c>
      <c r="K46">
        <f t="shared" si="8"/>
        <v>0.54396923491349736</v>
      </c>
      <c r="L46">
        <f t="shared" si="8"/>
        <v>0.54396923491349736</v>
      </c>
      <c r="M46">
        <f t="shared" si="8"/>
        <v>0.74904408740805462</v>
      </c>
    </row>
    <row r="47" spans="1:14" x14ac:dyDescent="0.25">
      <c r="A47">
        <v>4</v>
      </c>
      <c r="B47">
        <f t="shared" si="7"/>
        <v>5.4987759875751566E-19</v>
      </c>
      <c r="C47" s="1">
        <f>J25</f>
        <v>4.1726590347947904E-18</v>
      </c>
      <c r="D47">
        <f t="shared" si="8"/>
        <v>0.63127486650269182</v>
      </c>
      <c r="E47">
        <f t="shared" si="8"/>
        <v>5.9839596720557518E-2</v>
      </c>
      <c r="F47">
        <f t="shared" si="8"/>
        <v>0.23070687892270902</v>
      </c>
      <c r="G47">
        <f t="shared" si="8"/>
        <v>0</v>
      </c>
      <c r="H47">
        <f t="shared" si="8"/>
        <v>1.7124827679382215</v>
      </c>
      <c r="I47">
        <f t="shared" si="8"/>
        <v>1.0732481320869904</v>
      </c>
      <c r="J47">
        <f t="shared" si="8"/>
        <v>1.0732481320869194</v>
      </c>
      <c r="K47">
        <f t="shared" si="8"/>
        <v>0.86817327959236223</v>
      </c>
      <c r="L47">
        <f t="shared" si="8"/>
        <v>0.86817327959236223</v>
      </c>
      <c r="M47">
        <f t="shared" si="8"/>
        <v>1.0732481320869194</v>
      </c>
    </row>
    <row r="48" spans="1:14" x14ac:dyDescent="0.25">
      <c r="A48">
        <v>5</v>
      </c>
      <c r="B48">
        <f t="shared" si="7"/>
        <v>5.4987759875751566E-19</v>
      </c>
      <c r="C48" s="1">
        <f>J26</f>
        <v>2.8409564724641551E-18</v>
      </c>
      <c r="D48">
        <f t="shared" si="8"/>
        <v>-1.0812079014355298</v>
      </c>
      <c r="E48">
        <f t="shared" si="8"/>
        <v>-1.6526431712176641</v>
      </c>
      <c r="F48">
        <f t="shared" si="8"/>
        <v>-1.4817758890155126</v>
      </c>
      <c r="G48">
        <f t="shared" si="8"/>
        <v>-1.7124827679382215</v>
      </c>
      <c r="H48">
        <f t="shared" si="8"/>
        <v>0</v>
      </c>
      <c r="I48">
        <f t="shared" si="8"/>
        <v>-1.3332420532118594</v>
      </c>
      <c r="J48">
        <f t="shared" si="8"/>
        <v>-1.3332420532119305</v>
      </c>
      <c r="K48">
        <f t="shared" si="8"/>
        <v>-1.5383169057064876</v>
      </c>
      <c r="L48">
        <f t="shared" si="8"/>
        <v>-1.5383169057064876</v>
      </c>
      <c r="M48">
        <f t="shared" si="8"/>
        <v>-1.3332420532119305</v>
      </c>
    </row>
    <row r="49" spans="1:13" x14ac:dyDescent="0.25">
      <c r="A49">
        <v>6</v>
      </c>
      <c r="B49">
        <f>$M$29</f>
        <v>6.2157877438843246E-20</v>
      </c>
      <c r="C49" s="1">
        <f>P22</f>
        <v>3.5787454189205074E-18</v>
      </c>
      <c r="D49">
        <f t="shared" si="8"/>
        <v>-0.18614036148233254</v>
      </c>
      <c r="E49">
        <f t="shared" si="8"/>
        <v>-0.98915770799843816</v>
      </c>
      <c r="F49">
        <f t="shared" si="8"/>
        <v>-0.74904408740812556</v>
      </c>
      <c r="G49">
        <f t="shared" si="8"/>
        <v>-1.0732481320869904</v>
      </c>
      <c r="H49">
        <f t="shared" si="8"/>
        <v>1.3332420532118594</v>
      </c>
      <c r="I49">
        <f t="shared" si="8"/>
        <v>0</v>
      </c>
      <c r="J49">
        <f t="shared" si="8"/>
        <v>-4.4695055348647515E-13</v>
      </c>
      <c r="K49">
        <f t="shared" si="8"/>
        <v>-1.2909944487361036</v>
      </c>
      <c r="L49">
        <f t="shared" si="8"/>
        <v>-1.2909944487361036</v>
      </c>
      <c r="M49">
        <f t="shared" si="8"/>
        <v>-4.4695055348647515E-13</v>
      </c>
    </row>
    <row r="50" spans="1:13" x14ac:dyDescent="0.25">
      <c r="A50">
        <v>7</v>
      </c>
      <c r="B50">
        <f t="shared" ref="B50:B53" si="9">$M$29</f>
        <v>6.2157877438843246E-20</v>
      </c>
      <c r="C50" s="1">
        <f t="shared" ref="C50:C53" si="10">P23</f>
        <v>3.5787454189205466E-18</v>
      </c>
      <c r="D50">
        <f t="shared" si="8"/>
        <v>-0.18614036148226154</v>
      </c>
      <c r="E50">
        <f t="shared" si="8"/>
        <v>-0.98915770799836711</v>
      </c>
      <c r="F50">
        <f t="shared" si="8"/>
        <v>-0.74904408740805462</v>
      </c>
      <c r="G50">
        <f t="shared" si="8"/>
        <v>-1.0732481320869194</v>
      </c>
      <c r="H50">
        <f t="shared" si="8"/>
        <v>1.3332420532119305</v>
      </c>
      <c r="I50">
        <f t="shared" si="8"/>
        <v>4.4695055348647515E-13</v>
      </c>
      <c r="J50">
        <f t="shared" si="8"/>
        <v>0</v>
      </c>
      <c r="K50">
        <f t="shared" si="8"/>
        <v>-1.2909944487356566</v>
      </c>
      <c r="L50">
        <f t="shared" si="8"/>
        <v>-1.2909944487356566</v>
      </c>
      <c r="M50">
        <f t="shared" si="8"/>
        <v>0</v>
      </c>
    </row>
    <row r="51" spans="1:13" x14ac:dyDescent="0.25">
      <c r="A51">
        <v>8</v>
      </c>
      <c r="B51">
        <f t="shared" si="9"/>
        <v>6.2157877438843246E-20</v>
      </c>
      <c r="C51" s="1">
        <f t="shared" si="10"/>
        <v>3.6922296575868532E-18</v>
      </c>
      <c r="D51">
        <f t="shared" si="8"/>
        <v>1.8934491012295645E-2</v>
      </c>
      <c r="E51">
        <f t="shared" si="8"/>
        <v>-0.78408285550380996</v>
      </c>
      <c r="F51">
        <f t="shared" si="8"/>
        <v>-0.54396923491349736</v>
      </c>
      <c r="G51">
        <f t="shared" si="8"/>
        <v>-0.86817327959236223</v>
      </c>
      <c r="H51">
        <f t="shared" si="8"/>
        <v>1.5383169057064876</v>
      </c>
      <c r="I51">
        <f t="shared" si="8"/>
        <v>1.2909944487361036</v>
      </c>
      <c r="J51">
        <f t="shared" si="8"/>
        <v>1.2909944487356566</v>
      </c>
      <c r="K51">
        <f t="shared" si="8"/>
        <v>0</v>
      </c>
      <c r="L51">
        <f t="shared" si="8"/>
        <v>0</v>
      </c>
      <c r="M51">
        <f t="shared" si="8"/>
        <v>1.2909944487356566</v>
      </c>
    </row>
    <row r="52" spans="1:13" x14ac:dyDescent="0.25">
      <c r="A52">
        <v>9</v>
      </c>
      <c r="B52">
        <f t="shared" si="9"/>
        <v>6.2157877438843246E-20</v>
      </c>
      <c r="C52" s="1">
        <f t="shared" si="10"/>
        <v>3.6922296575868532E-18</v>
      </c>
      <c r="D52">
        <f t="shared" si="8"/>
        <v>1.8934491012295645E-2</v>
      </c>
      <c r="E52">
        <f t="shared" si="8"/>
        <v>-0.78408285550380996</v>
      </c>
      <c r="F52">
        <f t="shared" si="8"/>
        <v>-0.54396923491349736</v>
      </c>
      <c r="G52">
        <f t="shared" si="8"/>
        <v>-0.86817327959236223</v>
      </c>
      <c r="H52">
        <f t="shared" si="8"/>
        <v>1.5383169057064876</v>
      </c>
      <c r="I52">
        <f t="shared" si="8"/>
        <v>1.2909944487361036</v>
      </c>
      <c r="J52">
        <f t="shared" si="8"/>
        <v>1.2909944487356566</v>
      </c>
      <c r="K52">
        <f t="shared" si="8"/>
        <v>0</v>
      </c>
      <c r="L52">
        <f t="shared" si="8"/>
        <v>0</v>
      </c>
      <c r="M52">
        <f t="shared" si="8"/>
        <v>1.2909944487356566</v>
      </c>
    </row>
    <row r="53" spans="1:13" x14ac:dyDescent="0.25">
      <c r="A53">
        <v>10</v>
      </c>
      <c r="B53">
        <f t="shared" si="9"/>
        <v>6.2157877438843246E-20</v>
      </c>
      <c r="C53" s="1">
        <f t="shared" si="10"/>
        <v>3.5787454189205466E-18</v>
      </c>
      <c r="D53">
        <f t="shared" si="8"/>
        <v>-0.18614036148226154</v>
      </c>
      <c r="E53">
        <f t="shared" si="8"/>
        <v>-0.98915770799836711</v>
      </c>
      <c r="F53">
        <f t="shared" si="8"/>
        <v>-0.74904408740805462</v>
      </c>
      <c r="G53">
        <f t="shared" si="8"/>
        <v>-1.0732481320869194</v>
      </c>
      <c r="H53">
        <f t="shared" si="8"/>
        <v>1.3332420532119305</v>
      </c>
      <c r="I53">
        <f t="shared" si="8"/>
        <v>4.4695055348647515E-13</v>
      </c>
      <c r="J53">
        <f t="shared" si="8"/>
        <v>0</v>
      </c>
      <c r="K53">
        <f t="shared" si="8"/>
        <v>-1.2909944487356566</v>
      </c>
      <c r="L53">
        <f t="shared" si="8"/>
        <v>-1.2909944487356566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56" priority="4" operator="greaterThan">
      <formula>1.96</formula>
    </cfRule>
  </conditionalFormatting>
  <conditionalFormatting sqref="D35:H39">
    <cfRule type="cellIs" dxfId="55" priority="3" operator="notBetween">
      <formula>-1.96</formula>
      <formula>1.96</formula>
    </cfRule>
  </conditionalFormatting>
  <conditionalFormatting sqref="I22:I26">
    <cfRule type="cellIs" dxfId="54" priority="2" operator="notBetween">
      <formula>$J$19</formula>
      <formula>$K$19</formula>
    </cfRule>
  </conditionalFormatting>
  <conditionalFormatting sqref="O22:O26">
    <cfRule type="cellIs" dxfId="53" priority="1" operator="notBetween">
      <formula>$P$19</formula>
      <formula>$Q$19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7" zoomScaleNormal="100" workbookViewId="0">
      <selection activeCell="G18" sqref="G18:Q1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1.8238250000000001E-5</v>
      </c>
    </row>
    <row r="17" spans="1:17" x14ac:dyDescent="0.25">
      <c r="A17" t="s">
        <v>23</v>
      </c>
      <c r="B17">
        <v>2.29</v>
      </c>
      <c r="D17" t="s">
        <v>1</v>
      </c>
      <c r="E17" s="2">
        <f>E16/(1+$B$10/($B$7*B29))</f>
        <v>1.6705576129773463E-5</v>
      </c>
    </row>
    <row r="18" spans="1:17" x14ac:dyDescent="0.25">
      <c r="A18" t="s">
        <v>24</v>
      </c>
      <c r="B18">
        <v>20</v>
      </c>
      <c r="D18" t="s">
        <v>32</v>
      </c>
      <c r="E18" s="1">
        <f>B16/B5</f>
        <v>40915.208613728122</v>
      </c>
      <c r="G18" s="10"/>
      <c r="H18" s="10" t="s">
        <v>20</v>
      </c>
      <c r="I18" s="10" t="s">
        <v>45</v>
      </c>
      <c r="J18" s="10" t="s">
        <v>43</v>
      </c>
      <c r="K18" s="10" t="s">
        <v>42</v>
      </c>
      <c r="L18" s="10"/>
      <c r="M18" s="10"/>
      <c r="N18" s="10" t="s">
        <v>20</v>
      </c>
      <c r="O18" s="10" t="s">
        <v>45</v>
      </c>
      <c r="P18" s="10" t="s">
        <v>43</v>
      </c>
      <c r="Q18" s="10" t="s">
        <v>42</v>
      </c>
    </row>
    <row r="19" spans="1:17" x14ac:dyDescent="0.25">
      <c r="G19" s="10" t="s">
        <v>44</v>
      </c>
      <c r="H19" s="17">
        <f>AVERAGE(I22:I26)</f>
        <v>6.1650646048203592E-4</v>
      </c>
      <c r="I19" s="10">
        <f>_xlfn.STDEV.S(I22:I26)</f>
        <v>1.5909926777604591E-4</v>
      </c>
      <c r="J19" s="17">
        <f>H19-2*I19</f>
        <v>2.9830792492994409E-4</v>
      </c>
      <c r="K19" s="17">
        <f>H19+2*I19</f>
        <v>9.3470499603412775E-4</v>
      </c>
      <c r="L19" s="10"/>
      <c r="M19" s="10" t="s">
        <v>44</v>
      </c>
      <c r="N19" s="17">
        <f>AVERAGE(O22:O26)</f>
        <v>7.0414072421692787E-4</v>
      </c>
      <c r="O19" s="10">
        <f>_xlfn.STDEV.S(O22:O26)</f>
        <v>1.4671515301131128E-4</v>
      </c>
      <c r="P19" s="17">
        <f>N19-2*O19</f>
        <v>4.1071041819430531E-4</v>
      </c>
      <c r="Q19" s="17">
        <f>N19+2*O19</f>
        <v>9.9757103023955049E-4</v>
      </c>
    </row>
    <row r="20" spans="1:17" x14ac:dyDescent="0.25">
      <c r="A20" t="s">
        <v>7</v>
      </c>
      <c r="B20">
        <v>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s="10" t="s">
        <v>18</v>
      </c>
      <c r="H21" s="10"/>
      <c r="I21" s="10" t="s">
        <v>20</v>
      </c>
      <c r="J21" s="10" t="s">
        <v>22</v>
      </c>
      <c r="K21" s="10"/>
      <c r="L21" s="10"/>
      <c r="M21" s="10" t="s">
        <v>38</v>
      </c>
      <c r="N21" s="10"/>
      <c r="O21" s="10" t="s">
        <v>20</v>
      </c>
      <c r="P21" s="10" t="s">
        <v>22</v>
      </c>
      <c r="Q21" s="10"/>
    </row>
    <row r="22" spans="1:17" x14ac:dyDescent="0.25">
      <c r="A22">
        <v>1</v>
      </c>
      <c r="B22">
        <v>5.97</v>
      </c>
      <c r="C22" s="1">
        <f>B12/B22</f>
        <v>8.3752093802345063E-5</v>
      </c>
      <c r="D22">
        <f>(($B$10/(2*$B$7))^2+9*E16*C22/(2*$B$6*($B$9-$B$8)))^(1/2)-$B$10/(2*$B$7)</f>
        <v>8.6394354446471402E-7</v>
      </c>
      <c r="E22" s="1">
        <f>(D22+$B$10/(2*$B$7))^(-1)*9*E16/(2*$B$6*($B$9-$B$8))*1/2*C28</f>
        <v>3.3792067223142784E-8</v>
      </c>
      <c r="F22" s="1"/>
      <c r="G22" s="10">
        <v>32.01</v>
      </c>
      <c r="H22" s="10">
        <f>G22-B26</f>
        <v>0.61999999999999744</v>
      </c>
      <c r="I22" s="17">
        <f>$B$12/(G22-B26)</f>
        <v>8.0645161290322917E-4</v>
      </c>
      <c r="J22" s="17">
        <f>(4*PI()/3)*B29^3*($B$9-$B$8)*($B$6/E18)*(1+ABS(I22)/B28)</f>
        <v>6.4219546700626232E-18</v>
      </c>
      <c r="K22" s="24">
        <f>J22/$B$11</f>
        <v>40.082688699218586</v>
      </c>
      <c r="L22" s="10"/>
      <c r="M22" s="10">
        <v>36.54</v>
      </c>
      <c r="N22" s="10">
        <f>M22-G26</f>
        <v>0.86999999999999744</v>
      </c>
      <c r="O22" s="17">
        <f>B12/(M22-G26)</f>
        <v>5.7471264367816265E-4</v>
      </c>
      <c r="P22" s="17">
        <f>-(4*PI()/3)*B29^3*($B$9-$B$8)*($B$6/$E$18)*(1-ABS(O22)/B28)</f>
        <v>3.563281734735611E-18</v>
      </c>
      <c r="Q22" s="24">
        <f>P22/$B$11</f>
        <v>22.240255476550463</v>
      </c>
    </row>
    <row r="23" spans="1:17" x14ac:dyDescent="0.25">
      <c r="A23">
        <v>2</v>
      </c>
      <c r="B23">
        <v>14.3</v>
      </c>
      <c r="C23" s="1">
        <f>$B$12/(B23-B22)</f>
        <v>6.0024009603841526E-5</v>
      </c>
      <c r="D23" s="11"/>
      <c r="E23" s="1">
        <f>(D23+$B$10/(2*$B$7))^(-1)*9*E16/(2*$B$6*($B$9-$B$8))*1/2*C28</f>
        <v>7.5528632672179939E-7</v>
      </c>
      <c r="F23" s="1"/>
      <c r="G23" s="10">
        <v>32.67</v>
      </c>
      <c r="H23" s="10">
        <f>G23-G22</f>
        <v>0.66000000000000369</v>
      </c>
      <c r="I23" s="17">
        <f>$B$12/(G23-G22)</f>
        <v>7.5757575757575335E-4</v>
      </c>
      <c r="J23" s="17">
        <f>(4*PI()/3)*B29^3*($B$9-$B$8)*($B$6/E18)*(1+ABS(I23)/B28)</f>
        <v>6.0686028021685496E-18</v>
      </c>
      <c r="K23" s="24">
        <f t="shared" ref="K23:K26" si="0">J23/$B$11</f>
        <v>37.877239790008602</v>
      </c>
      <c r="L23" s="10"/>
      <c r="M23" s="10">
        <v>37.47</v>
      </c>
      <c r="N23" s="10">
        <f>M23-M22</f>
        <v>0.92999999999999972</v>
      </c>
      <c r="O23" s="17">
        <f>$B$12/(M23-M22)</f>
        <v>5.3763440860215075E-4</v>
      </c>
      <c r="P23" s="17">
        <f>-(4*PI()/3)*B29^3*($B$9-$B$8)*($B$6/$E$18)*(1-ABS(O23)/B28)</f>
        <v>3.2952216970228975E-18</v>
      </c>
      <c r="Q23" s="24">
        <f t="shared" ref="Q23:Q26" si="1">P23/$B$11</f>
        <v>20.567156304046538</v>
      </c>
    </row>
    <row r="24" spans="1:17" x14ac:dyDescent="0.25">
      <c r="A24">
        <v>3</v>
      </c>
      <c r="B24">
        <v>20.73</v>
      </c>
      <c r="C24" s="1">
        <f t="shared" ref="C24:C26" si="2">$B$12/(B24-B23)</f>
        <v>7.7760497667185078E-5</v>
      </c>
      <c r="D24">
        <f>(($B$10/(2*$B$7))^2+9*E16*C24/(2*$B$6*($B$9-$B$8)))^(1/2)-$B$10/(2*$B$7)</f>
        <v>8.310599934254888E-7</v>
      </c>
      <c r="E24" s="1">
        <f>(D24+$B$10/(2*$B$7))^(-1)*9*E16/(2*$B$6*($B$9-$B$8))*1/2*C28</f>
        <v>3.5067078997769604E-8</v>
      </c>
      <c r="F24" s="1"/>
      <c r="G24" s="10">
        <v>33.83</v>
      </c>
      <c r="H24" s="10">
        <f t="shared" ref="H24:H26" si="3">G24-G23</f>
        <v>1.1599999999999966</v>
      </c>
      <c r="I24" s="17">
        <f>$B$12/(G24-G23)</f>
        <v>4.3103448275862198E-4</v>
      </c>
      <c r="J24" s="17">
        <f>(4*PI()/3)*B29^3*($B$9-$B$8)*($B$6/E18)*(1+ABS(I24)/B28)</f>
        <v>3.7078467882214868E-18</v>
      </c>
      <c r="K24" s="24">
        <f t="shared" si="0"/>
        <v>23.142559577616897</v>
      </c>
      <c r="L24" s="10"/>
      <c r="M24" s="10">
        <v>38.14</v>
      </c>
      <c r="N24" s="10">
        <f t="shared" ref="N24:N26" si="4">M24-M23</f>
        <v>0.67000000000000171</v>
      </c>
      <c r="O24" s="17">
        <f>$B$12/(M24-M23)</f>
        <v>7.4626865671641607E-4</v>
      </c>
      <c r="P24" s="17">
        <f>-(4*PI()/3)*B29^3*($B$9-$B$8)*($B$6/E18)*(1-ABS(O24)/B28)</f>
        <v>4.8035595211674971E-18</v>
      </c>
      <c r="Q24" s="24">
        <f t="shared" si="1"/>
        <v>29.981460603060707</v>
      </c>
    </row>
    <row r="25" spans="1:17" x14ac:dyDescent="0.25">
      <c r="A25">
        <v>4</v>
      </c>
      <c r="B25">
        <v>25.99</v>
      </c>
      <c r="C25" s="1">
        <f t="shared" si="2"/>
        <v>9.5057034220532354E-5</v>
      </c>
      <c r="D25">
        <f>(($B$10/(2*$B$7))^2+9*E16*C25/(2*$B$6*($B$9-$B$8)))^(1/2)-$B$10/(2*$B$7)</f>
        <v>9.2293627296674439E-7</v>
      </c>
      <c r="E25" s="1">
        <f>(D25+$B$10/(2*$B$7))^(-1)*9*E16/(2*$B$6*($B$9-$B$8))*1/2*C28</f>
        <v>3.1722847807916582E-8</v>
      </c>
      <c r="F25" s="1"/>
      <c r="G25" s="10">
        <v>34.770000000000003</v>
      </c>
      <c r="H25" s="10">
        <f t="shared" si="3"/>
        <v>0.94000000000000483</v>
      </c>
      <c r="I25" s="17">
        <f>$B$12/(G25-G24)</f>
        <v>5.3191489361701857E-4</v>
      </c>
      <c r="J25" s="17">
        <f>(4*PI()/3)*B29^3*($B$9-$B$8)*($B$6/E18)*(1+ABS(I25)/B28)</f>
        <v>4.4371697099770313E-18</v>
      </c>
      <c r="K25" s="24">
        <f t="shared" si="0"/>
        <v>27.694635251742913</v>
      </c>
      <c r="L25" s="10"/>
      <c r="M25" s="10">
        <v>38.700000000000003</v>
      </c>
      <c r="N25" s="10">
        <f t="shared" si="4"/>
        <v>0.56000000000000227</v>
      </c>
      <c r="O25" s="17">
        <f>$B$12/(M25-M24)</f>
        <v>8.9285714285713925E-4</v>
      </c>
      <c r="P25" s="17">
        <f>-(4*PI()/3)*B29^3*($B$9-$B$8)*($B$6/E18)*(1-ABS(O25)/B28)</f>
        <v>5.863332594038321E-18</v>
      </c>
      <c r="Q25" s="24">
        <f t="shared" si="1"/>
        <v>36.596043912052096</v>
      </c>
    </row>
    <row r="26" spans="1:17" x14ac:dyDescent="0.25">
      <c r="A26">
        <v>5</v>
      </c>
      <c r="B26">
        <v>31.39</v>
      </c>
      <c r="C26" s="1">
        <f t="shared" si="2"/>
        <v>9.2592592592592561E-5</v>
      </c>
      <c r="D26">
        <f>(($B$10/(2*$B$7))^2+9*E16*C26/(2*$B$6*($B$9-$B$8)))^(1/2)-$B$10/(2*$B$7)</f>
        <v>9.1038806398949172E-7</v>
      </c>
      <c r="E26" s="1">
        <f>(D26+$B$10/(2*$B$7))^(-1)*9*E16/(2*$B$6*($B$9-$B$8))*1/2*C28</f>
        <v>3.2141488098947444E-8</v>
      </c>
      <c r="F26" s="1"/>
      <c r="G26" s="10">
        <v>35.67</v>
      </c>
      <c r="H26" s="10">
        <f t="shared" si="3"/>
        <v>0.89999999999999858</v>
      </c>
      <c r="I26" s="17">
        <f>$B$12/(G26-G25)</f>
        <v>5.5555555555555642E-4</v>
      </c>
      <c r="J26" s="17">
        <f>(4*PI()/3)*B29^3*($B$9-$B$8)*($B$6/E18)*(1+ABS(I26)/B28)</f>
        <v>4.6080817482066459E-18</v>
      </c>
      <c r="K26" s="24">
        <f t="shared" si="0"/>
        <v>28.761384298609013</v>
      </c>
      <c r="L26" s="10"/>
      <c r="M26" s="10">
        <v>39.35</v>
      </c>
      <c r="N26" s="10">
        <f t="shared" si="4"/>
        <v>0.64999999999999858</v>
      </c>
      <c r="O26" s="17">
        <f>$B$12/(M26-M25)</f>
        <v>7.6923076923077096E-4</v>
      </c>
      <c r="P26" s="17">
        <f>-(4*PI()/3)*B29^3*($B$9-$B$8)*($B$6/E18)*(1-ABS(O26)/B28)</f>
        <v>4.9695659325822551E-18</v>
      </c>
      <c r="Q26" s="24">
        <f t="shared" si="1"/>
        <v>31.017591135378414</v>
      </c>
    </row>
    <row r="27" spans="1:17" x14ac:dyDescent="0.25">
      <c r="B27" s="1" t="s">
        <v>28</v>
      </c>
      <c r="C27" s="1" t="s">
        <v>34</v>
      </c>
      <c r="D27" t="s">
        <v>30</v>
      </c>
      <c r="G27" s="17" t="s">
        <v>28</v>
      </c>
      <c r="H27" s="17" t="s">
        <v>29</v>
      </c>
      <c r="I27" s="10" t="s">
        <v>34</v>
      </c>
      <c r="J27" s="10"/>
      <c r="K27" s="10"/>
      <c r="L27" s="17" t="s">
        <v>28</v>
      </c>
      <c r="M27" s="17" t="s">
        <v>29</v>
      </c>
      <c r="N27" s="10" t="s">
        <v>34</v>
      </c>
      <c r="O27" s="10"/>
      <c r="P27" s="10"/>
      <c r="Q27" s="10"/>
    </row>
    <row r="28" spans="1:17" x14ac:dyDescent="0.25">
      <c r="A28" t="s">
        <v>27</v>
      </c>
      <c r="B28" s="1">
        <f>AVERAGE(C22:C26)</f>
        <v>8.1837245577299323E-5</v>
      </c>
      <c r="C28" s="1">
        <f>_xlfn.STDEV.S(C22:C26)/SQRT(COUNT(C22:C26))</f>
        <v>6.271140574379054E-6</v>
      </c>
      <c r="F28" t="str">
        <f>K28</f>
        <v>Velocità</v>
      </c>
      <c r="G28" s="17">
        <f>AVERAGE(I22:I26)</f>
        <v>6.1650646048203592E-4</v>
      </c>
      <c r="H28" s="17">
        <f>_xlfn.STDEV.S(I22:I26)</f>
        <v>1.5909926777604591E-4</v>
      </c>
      <c r="I28" s="25">
        <f>H28/SQRT(5)</f>
        <v>7.1151355583536083E-5</v>
      </c>
      <c r="J28" s="25"/>
      <c r="K28" s="10" t="s">
        <v>27</v>
      </c>
      <c r="L28" s="17">
        <f>AVERAGE(O22:O26)</f>
        <v>7.0414072421692787E-4</v>
      </c>
      <c r="M28" s="17">
        <f>_xlfn.STDEV.S(O22:O26)</f>
        <v>1.4671515301131128E-4</v>
      </c>
      <c r="N28" s="25">
        <f>M28/SQRT(5)</f>
        <v>6.5613011092514992E-5</v>
      </c>
      <c r="O28" s="10"/>
      <c r="P28" s="10"/>
      <c r="Q28" s="10"/>
    </row>
    <row r="29" spans="1:17" x14ac:dyDescent="0.25">
      <c r="A29" t="s">
        <v>5</v>
      </c>
      <c r="B29">
        <f>AVERAGE(D22:D26)</f>
        <v>8.8208196871160976E-7</v>
      </c>
      <c r="C29">
        <f>_xlfn.STDEV.S(D22:D26)/SQRT(COUNT(D22:D26))</f>
        <v>2.1218218591400715E-8</v>
      </c>
      <c r="D29" s="1">
        <f>(B29+$B$10/(2*$B$7))^(-1)*9*E16/(2*$B$6*($B$9-$B$8))*1/2*C28</f>
        <v>3.3127672201858803E-8</v>
      </c>
      <c r="F29" t="str">
        <f>K29</f>
        <v>Carica</v>
      </c>
      <c r="G29" s="10">
        <f>AVERAGE(J22:J26)</f>
        <v>5.0487311437272678E-18</v>
      </c>
      <c r="H29" s="10">
        <f>_xlfn.STDEV.S(J22:J26)</f>
        <v>1.1502207597713761E-18</v>
      </c>
      <c r="I29" s="25">
        <f>H29/SQRT(5)</f>
        <v>5.1439436159605046E-19</v>
      </c>
      <c r="J29" s="25"/>
      <c r="K29" s="10" t="s">
        <v>33</v>
      </c>
      <c r="L29" s="10">
        <f>AVERAGE(P22:P26)</f>
        <v>4.4989922959093166E-18</v>
      </c>
      <c r="M29" s="10">
        <f>_xlfn.STDEV.S(P22:P26)</f>
        <v>1.0606888210459255E-18</v>
      </c>
      <c r="N29" s="25">
        <f>M29/SQRT(5)</f>
        <v>4.7435446136655976E-19</v>
      </c>
      <c r="O29" s="10"/>
      <c r="P29" s="10"/>
      <c r="Q29" s="10"/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  <c r="L32" t="s">
        <v>40</v>
      </c>
      <c r="M32" t="s">
        <v>41</v>
      </c>
      <c r="N32" t="s">
        <v>42</v>
      </c>
    </row>
    <row r="33" spans="1:14" x14ac:dyDescent="0.25">
      <c r="B33" t="s">
        <v>26</v>
      </c>
      <c r="D33">
        <f t="array" ref="D33:H34">TRANSPOSE(B35:C39)</f>
        <v>3.3792067223142784E-8</v>
      </c>
      <c r="E33">
        <v>7.5528632672179939E-7</v>
      </c>
      <c r="F33">
        <v>3.5067078997769604E-8</v>
      </c>
      <c r="G33">
        <v>3.1722847807916582E-8</v>
      </c>
      <c r="H33">
        <v>3.2141488098947444E-8</v>
      </c>
      <c r="K33" t="s">
        <v>39</v>
      </c>
      <c r="L33">
        <f>AVERAGE(H22:H26,N22:N26)</f>
        <v>0.79600000000000004</v>
      </c>
      <c r="M33">
        <f>_xlfn.STDEV.P(H22:H26,N22:N26)</f>
        <v>0.18161497735594331</v>
      </c>
      <c r="N33">
        <f>L33+2*M33</f>
        <v>1.1592299547118867</v>
      </c>
    </row>
    <row r="34" spans="1:14" x14ac:dyDescent="0.25">
      <c r="C34" t="s">
        <v>21</v>
      </c>
      <c r="D34">
        <v>8.6394354446471402E-7</v>
      </c>
      <c r="E34">
        <v>0</v>
      </c>
      <c r="F34">
        <v>8.310599934254888E-7</v>
      </c>
      <c r="G34">
        <v>9.2293627296674439E-7</v>
      </c>
      <c r="H34">
        <v>9.1038806398949172E-7</v>
      </c>
    </row>
    <row r="35" spans="1:14" x14ac:dyDescent="0.25">
      <c r="A35">
        <v>1</v>
      </c>
      <c r="B35" s="1">
        <f>E22</f>
        <v>3.3792067223142784E-8</v>
      </c>
      <c r="C35">
        <f>D22</f>
        <v>8.6394354446471402E-7</v>
      </c>
      <c r="D35">
        <f t="shared" ref="D35:H39" si="5">($C35-D$34)/SQRT($B35^2+D$33^2)</f>
        <v>0</v>
      </c>
      <c r="E35">
        <f t="shared" si="5"/>
        <v>1.1427191483892358</v>
      </c>
      <c r="F35">
        <f t="shared" si="5"/>
        <v>0.67523918653362514</v>
      </c>
      <c r="G35">
        <f t="shared" si="5"/>
        <v>-1.2727901123546395</v>
      </c>
      <c r="H35">
        <f t="shared" si="5"/>
        <v>-0.99587982409784181</v>
      </c>
    </row>
    <row r="36" spans="1:14" x14ac:dyDescent="0.25">
      <c r="A36">
        <v>2</v>
      </c>
      <c r="B36">
        <f>E23</f>
        <v>7.5528632672179939E-7</v>
      </c>
      <c r="C36">
        <f>D23</f>
        <v>0</v>
      </c>
      <c r="D36">
        <f t="shared" si="5"/>
        <v>-1.1427191483892358</v>
      </c>
      <c r="E36">
        <f t="shared" si="5"/>
        <v>0</v>
      </c>
      <c r="F36">
        <f t="shared" si="5"/>
        <v>-1.0991403884086268</v>
      </c>
      <c r="G36">
        <f t="shared" si="5"/>
        <v>-1.2208923210304221</v>
      </c>
      <c r="H36">
        <f t="shared" si="5"/>
        <v>-1.204264941441753</v>
      </c>
    </row>
    <row r="37" spans="1:14" x14ac:dyDescent="0.25">
      <c r="A37">
        <v>3</v>
      </c>
      <c r="B37">
        <f>E24</f>
        <v>3.5067078997769604E-8</v>
      </c>
      <c r="C37">
        <f>D24</f>
        <v>8.310599934254888E-7</v>
      </c>
      <c r="D37">
        <f t="shared" si="5"/>
        <v>-0.67523918653362514</v>
      </c>
      <c r="E37">
        <f t="shared" si="5"/>
        <v>1.0991403884086268</v>
      </c>
      <c r="F37">
        <f t="shared" si="5"/>
        <v>0</v>
      </c>
      <c r="G37">
        <f t="shared" si="5"/>
        <v>-1.9429593006251429</v>
      </c>
      <c r="H37">
        <f t="shared" si="5"/>
        <v>-1.6676548773412361</v>
      </c>
    </row>
    <row r="38" spans="1:14" x14ac:dyDescent="0.25">
      <c r="A38">
        <v>4</v>
      </c>
      <c r="B38">
        <f>E25</f>
        <v>3.1722847807916582E-8</v>
      </c>
      <c r="C38">
        <f>D25</f>
        <v>9.2293627296674439E-7</v>
      </c>
      <c r="D38">
        <f t="shared" si="5"/>
        <v>1.2727901123546395</v>
      </c>
      <c r="E38">
        <f t="shared" si="5"/>
        <v>1.2208923210304221</v>
      </c>
      <c r="F38">
        <f t="shared" si="5"/>
        <v>1.9429593006251429</v>
      </c>
      <c r="G38">
        <f t="shared" si="5"/>
        <v>0</v>
      </c>
      <c r="H38">
        <f t="shared" si="5"/>
        <v>0.27786190539666894</v>
      </c>
    </row>
    <row r="39" spans="1:14" x14ac:dyDescent="0.25">
      <c r="A39">
        <v>5</v>
      </c>
      <c r="B39">
        <f>E26</f>
        <v>3.2141488098947444E-8</v>
      </c>
      <c r="C39">
        <f>D26</f>
        <v>9.1038806398949172E-7</v>
      </c>
      <c r="D39">
        <f t="shared" si="5"/>
        <v>0.99587982409784181</v>
      </c>
      <c r="E39">
        <f t="shared" si="5"/>
        <v>1.204264941441753</v>
      </c>
      <c r="F39">
        <f t="shared" si="5"/>
        <v>1.6676548773412361</v>
      </c>
      <c r="G39">
        <f t="shared" si="5"/>
        <v>-0.27786190539666894</v>
      </c>
      <c r="H39">
        <f t="shared" si="5"/>
        <v>0</v>
      </c>
    </row>
    <row r="41" spans="1:14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4" x14ac:dyDescent="0.25">
      <c r="B42" t="s">
        <v>26</v>
      </c>
      <c r="D42">
        <v>1.1502207597713761E-18</v>
      </c>
      <c r="E42">
        <v>1.1502207597713761E-18</v>
      </c>
      <c r="F42">
        <v>1.1502207597713761E-18</v>
      </c>
      <c r="G42">
        <v>1.1502207597713761E-18</v>
      </c>
      <c r="H42">
        <v>1.1502207597713761E-18</v>
      </c>
      <c r="I42">
        <v>1.0606888210459255E-18</v>
      </c>
      <c r="J42">
        <v>1.0606888210459255E-18</v>
      </c>
      <c r="K42">
        <v>1.0606888210459255E-18</v>
      </c>
      <c r="L42">
        <v>1.0606888210459255E-18</v>
      </c>
      <c r="M42">
        <v>1.0606888210459255E-18</v>
      </c>
    </row>
    <row r="43" spans="1:14" x14ac:dyDescent="0.25">
      <c r="C43" t="s">
        <v>35</v>
      </c>
      <c r="D43">
        <v>6.4219546700626232E-18</v>
      </c>
      <c r="E43">
        <v>6.0686028021685496E-18</v>
      </c>
      <c r="F43">
        <v>3.7078467882214868E-18</v>
      </c>
      <c r="G43">
        <v>4.4371697099770313E-18</v>
      </c>
      <c r="H43">
        <v>4.6080817482066459E-18</v>
      </c>
      <c r="I43">
        <v>3.563281734735611E-18</v>
      </c>
      <c r="J43">
        <v>3.2952216970228975E-18</v>
      </c>
      <c r="K43">
        <v>4.8035595211674971E-18</v>
      </c>
      <c r="L43">
        <v>5.863332594038321E-18</v>
      </c>
      <c r="M43">
        <v>4.9695659325822551E-18</v>
      </c>
    </row>
    <row r="44" spans="1:14" x14ac:dyDescent="0.25">
      <c r="A44">
        <v>1</v>
      </c>
      <c r="B44">
        <f>$H$29</f>
        <v>1.1502207597713761E-18</v>
      </c>
      <c r="C44" s="1">
        <f>J22</f>
        <v>6.4219546700626232E-18</v>
      </c>
      <c r="D44">
        <f>($C44-D$43)/SQRT($B44^2+D$42^2)</f>
        <v>0</v>
      </c>
      <c r="E44">
        <f t="shared" ref="E44:M44" si="6">($C44-E$43)/SQRT($B44^2+E$42^2)</f>
        <v>0.2172256932508291</v>
      </c>
      <c r="F44">
        <f t="shared" si="6"/>
        <v>1.6685180404005118</v>
      </c>
      <c r="G44">
        <f t="shared" si="6"/>
        <v>1.2201613408130028</v>
      </c>
      <c r="H44">
        <f t="shared" si="6"/>
        <v>1.1150918920207584</v>
      </c>
      <c r="I44">
        <f t="shared" si="6"/>
        <v>1.8270594577932908</v>
      </c>
      <c r="J44">
        <f t="shared" si="6"/>
        <v>1.9983842781695729</v>
      </c>
      <c r="K44">
        <f t="shared" si="6"/>
        <v>1.0343625276941211</v>
      </c>
      <c r="L44">
        <f t="shared" si="6"/>
        <v>0.35703131152902262</v>
      </c>
      <c r="M44">
        <f t="shared" si="6"/>
        <v>0.92826309243467553</v>
      </c>
    </row>
    <row r="45" spans="1:14" x14ac:dyDescent="0.25">
      <c r="A45">
        <v>2</v>
      </c>
      <c r="B45">
        <f t="shared" ref="B45:B48" si="7">$H$29</f>
        <v>1.1502207597713761E-18</v>
      </c>
      <c r="C45" s="1">
        <f>J23</f>
        <v>6.0686028021685496E-18</v>
      </c>
      <c r="D45">
        <f t="shared" ref="D45:M53" si="8">($C45-D$43)/SQRT($B45^2+D$42^2)</f>
        <v>-0.2172256932508291</v>
      </c>
      <c r="E45">
        <f t="shared" si="8"/>
        <v>0</v>
      </c>
      <c r="F45">
        <f t="shared" si="8"/>
        <v>1.4512923471496826</v>
      </c>
      <c r="G45">
        <f t="shared" si="8"/>
        <v>1.0029356475621736</v>
      </c>
      <c r="H45">
        <f t="shared" si="8"/>
        <v>0.89786619876992935</v>
      </c>
      <c r="I45">
        <f t="shared" si="8"/>
        <v>1.6012221945699829</v>
      </c>
      <c r="J45">
        <f t="shared" si="8"/>
        <v>1.772547014946265</v>
      </c>
      <c r="K45">
        <f t="shared" si="8"/>
        <v>0.80852526447081319</v>
      </c>
      <c r="L45">
        <f t="shared" si="8"/>
        <v>0.13119404830571471</v>
      </c>
      <c r="M45">
        <f t="shared" si="8"/>
        <v>0.70242582921136765</v>
      </c>
    </row>
    <row r="46" spans="1:14" x14ac:dyDescent="0.25">
      <c r="A46">
        <v>3</v>
      </c>
      <c r="B46">
        <f t="shared" si="7"/>
        <v>1.1502207597713761E-18</v>
      </c>
      <c r="C46" s="1">
        <f>J24</f>
        <v>3.7078467882214868E-18</v>
      </c>
      <c r="D46">
        <f t="shared" si="8"/>
        <v>-1.6685180404005118</v>
      </c>
      <c r="E46">
        <f t="shared" si="8"/>
        <v>-1.4512923471496826</v>
      </c>
      <c r="F46">
        <f t="shared" si="8"/>
        <v>0</v>
      </c>
      <c r="G46">
        <f t="shared" si="8"/>
        <v>-0.44835669958750907</v>
      </c>
      <c r="H46">
        <f t="shared" si="8"/>
        <v>-0.55342614837975335</v>
      </c>
      <c r="I46">
        <f t="shared" si="8"/>
        <v>9.2395651483490784E-2</v>
      </c>
      <c r="J46">
        <f t="shared" si="8"/>
        <v>0.26372047185977288</v>
      </c>
      <c r="K46">
        <f t="shared" si="8"/>
        <v>-0.70030127861567881</v>
      </c>
      <c r="L46">
        <f t="shared" si="8"/>
        <v>-1.3776324947807774</v>
      </c>
      <c r="M46">
        <f t="shared" si="8"/>
        <v>-0.80640071387512446</v>
      </c>
    </row>
    <row r="47" spans="1:14" x14ac:dyDescent="0.25">
      <c r="A47">
        <v>4</v>
      </c>
      <c r="B47">
        <f t="shared" si="7"/>
        <v>1.1502207597713761E-18</v>
      </c>
      <c r="C47" s="1">
        <f>J25</f>
        <v>4.4371697099770313E-18</v>
      </c>
      <c r="D47">
        <f t="shared" si="8"/>
        <v>-1.2201613408130028</v>
      </c>
      <c r="E47">
        <f t="shared" si="8"/>
        <v>-1.0029356475621736</v>
      </c>
      <c r="F47">
        <f t="shared" si="8"/>
        <v>0.44835669958750907</v>
      </c>
      <c r="G47">
        <f t="shared" si="8"/>
        <v>0</v>
      </c>
      <c r="H47">
        <f t="shared" si="8"/>
        <v>-0.10506944879224427</v>
      </c>
      <c r="I47">
        <f t="shared" si="8"/>
        <v>0.55852674521998824</v>
      </c>
      <c r="J47">
        <f t="shared" si="8"/>
        <v>0.7298515655962704</v>
      </c>
      <c r="K47">
        <f t="shared" si="8"/>
        <v>-0.23417018487918137</v>
      </c>
      <c r="L47">
        <f t="shared" si="8"/>
        <v>-0.9115014010442799</v>
      </c>
      <c r="M47">
        <f t="shared" si="8"/>
        <v>-0.34026962013862699</v>
      </c>
    </row>
    <row r="48" spans="1:14" x14ac:dyDescent="0.25">
      <c r="A48">
        <v>5</v>
      </c>
      <c r="B48">
        <f t="shared" si="7"/>
        <v>1.1502207597713761E-18</v>
      </c>
      <c r="C48" s="1">
        <f>J26</f>
        <v>4.6080817482066459E-18</v>
      </c>
      <c r="D48">
        <f t="shared" si="8"/>
        <v>-1.1150918920207584</v>
      </c>
      <c r="E48">
        <f t="shared" si="8"/>
        <v>-0.89786619876992935</v>
      </c>
      <c r="F48">
        <f t="shared" si="8"/>
        <v>0.55342614837975335</v>
      </c>
      <c r="G48">
        <f t="shared" si="8"/>
        <v>0.10506944879224427</v>
      </c>
      <c r="H48">
        <f t="shared" si="8"/>
        <v>0</v>
      </c>
      <c r="I48">
        <f t="shared" si="8"/>
        <v>0.66776150658048106</v>
      </c>
      <c r="J48">
        <f t="shared" si="8"/>
        <v>0.83908632695676322</v>
      </c>
      <c r="K48">
        <f t="shared" si="8"/>
        <v>-0.12493542351868854</v>
      </c>
      <c r="L48">
        <f t="shared" si="8"/>
        <v>-0.80226663968378698</v>
      </c>
      <c r="M48">
        <f t="shared" si="8"/>
        <v>-0.23103485877813415</v>
      </c>
    </row>
    <row r="49" spans="1:13" x14ac:dyDescent="0.25">
      <c r="A49">
        <v>6</v>
      </c>
      <c r="B49">
        <f>$M$29</f>
        <v>1.0606888210459255E-18</v>
      </c>
      <c r="C49" s="1">
        <f>P22</f>
        <v>3.563281734735611E-18</v>
      </c>
      <c r="D49">
        <f t="shared" si="8"/>
        <v>-1.8270594577932908</v>
      </c>
      <c r="E49">
        <f t="shared" si="8"/>
        <v>-1.6012221945699829</v>
      </c>
      <c r="F49">
        <f t="shared" si="8"/>
        <v>-9.2395651483490784E-2</v>
      </c>
      <c r="G49">
        <f t="shared" si="8"/>
        <v>-0.55852674521998824</v>
      </c>
      <c r="H49">
        <f t="shared" si="8"/>
        <v>-0.66776150658048106</v>
      </c>
      <c r="I49">
        <f t="shared" si="8"/>
        <v>0</v>
      </c>
      <c r="J49">
        <f t="shared" si="8"/>
        <v>0.17870186493044454</v>
      </c>
      <c r="K49">
        <f t="shared" si="8"/>
        <v>-0.82682952430499379</v>
      </c>
      <c r="L49">
        <f t="shared" si="8"/>
        <v>-1.5333258231977476</v>
      </c>
      <c r="M49">
        <f t="shared" si="8"/>
        <v>-0.93749747601968125</v>
      </c>
    </row>
    <row r="50" spans="1:13" x14ac:dyDescent="0.25">
      <c r="A50">
        <v>7</v>
      </c>
      <c r="B50">
        <f t="shared" ref="B50:B53" si="9">$M$29</f>
        <v>1.0606888210459255E-18</v>
      </c>
      <c r="C50" s="1">
        <f t="shared" ref="C50:C53" si="10">P23</f>
        <v>3.2952216970228975E-18</v>
      </c>
      <c r="D50">
        <f t="shared" si="8"/>
        <v>-1.9983842781695729</v>
      </c>
      <c r="E50">
        <f t="shared" si="8"/>
        <v>-1.772547014946265</v>
      </c>
      <c r="F50">
        <f t="shared" si="8"/>
        <v>-0.26372047185977288</v>
      </c>
      <c r="G50">
        <f t="shared" si="8"/>
        <v>-0.7298515655962704</v>
      </c>
      <c r="H50">
        <f t="shared" si="8"/>
        <v>-0.83908632695676322</v>
      </c>
      <c r="I50">
        <f t="shared" si="8"/>
        <v>-0.17870186493044454</v>
      </c>
      <c r="J50">
        <f t="shared" si="8"/>
        <v>0</v>
      </c>
      <c r="K50">
        <f t="shared" si="8"/>
        <v>-1.0055313892354383</v>
      </c>
      <c r="L50">
        <f t="shared" si="8"/>
        <v>-1.7120276881281922</v>
      </c>
      <c r="M50">
        <f t="shared" si="8"/>
        <v>-1.1161993409501259</v>
      </c>
    </row>
    <row r="51" spans="1:13" x14ac:dyDescent="0.25">
      <c r="A51">
        <v>8</v>
      </c>
      <c r="B51">
        <f t="shared" si="9"/>
        <v>1.0606888210459255E-18</v>
      </c>
      <c r="C51" s="1">
        <f t="shared" si="10"/>
        <v>4.8035595211674971E-18</v>
      </c>
      <c r="D51">
        <f t="shared" si="8"/>
        <v>-1.0343625276941211</v>
      </c>
      <c r="E51">
        <f t="shared" si="8"/>
        <v>-0.80852526447081319</v>
      </c>
      <c r="F51">
        <f t="shared" si="8"/>
        <v>0.70030127861567881</v>
      </c>
      <c r="G51">
        <f t="shared" si="8"/>
        <v>0.23417018487918137</v>
      </c>
      <c r="H51">
        <f t="shared" si="8"/>
        <v>0.12493542351868854</v>
      </c>
      <c r="I51">
        <f t="shared" si="8"/>
        <v>0.82682952430499379</v>
      </c>
      <c r="J51">
        <f t="shared" si="8"/>
        <v>1.0055313892354383</v>
      </c>
      <c r="K51">
        <f t="shared" si="8"/>
        <v>0</v>
      </c>
      <c r="L51">
        <f t="shared" si="8"/>
        <v>-0.70649629889275378</v>
      </c>
      <c r="M51">
        <f t="shared" si="8"/>
        <v>-0.11066795171468748</v>
      </c>
    </row>
    <row r="52" spans="1:13" x14ac:dyDescent="0.25">
      <c r="A52">
        <v>9</v>
      </c>
      <c r="B52">
        <f t="shared" si="9"/>
        <v>1.0606888210459255E-18</v>
      </c>
      <c r="C52" s="1">
        <f t="shared" si="10"/>
        <v>5.863332594038321E-18</v>
      </c>
      <c r="D52">
        <f t="shared" si="8"/>
        <v>-0.35703131152902262</v>
      </c>
      <c r="E52">
        <f t="shared" si="8"/>
        <v>-0.13119404830571471</v>
      </c>
      <c r="F52">
        <f t="shared" si="8"/>
        <v>1.3776324947807774</v>
      </c>
      <c r="G52">
        <f t="shared" si="8"/>
        <v>0.9115014010442799</v>
      </c>
      <c r="H52">
        <f t="shared" si="8"/>
        <v>0.80226663968378698</v>
      </c>
      <c r="I52">
        <f t="shared" si="8"/>
        <v>1.5333258231977476</v>
      </c>
      <c r="J52">
        <f t="shared" si="8"/>
        <v>1.7120276881281922</v>
      </c>
      <c r="K52">
        <f t="shared" si="8"/>
        <v>0.70649629889275378</v>
      </c>
      <c r="L52">
        <f t="shared" si="8"/>
        <v>0</v>
      </c>
      <c r="M52">
        <f t="shared" si="8"/>
        <v>0.59582834717806632</v>
      </c>
    </row>
    <row r="53" spans="1:13" x14ac:dyDescent="0.25">
      <c r="A53">
        <v>10</v>
      </c>
      <c r="B53">
        <f t="shared" si="9"/>
        <v>1.0606888210459255E-18</v>
      </c>
      <c r="C53" s="1">
        <f t="shared" si="10"/>
        <v>4.9695659325822551E-18</v>
      </c>
      <c r="D53">
        <f t="shared" si="8"/>
        <v>-0.92826309243467553</v>
      </c>
      <c r="E53">
        <f t="shared" si="8"/>
        <v>-0.70242582921136765</v>
      </c>
      <c r="F53">
        <f t="shared" si="8"/>
        <v>0.80640071387512446</v>
      </c>
      <c r="G53">
        <f t="shared" si="8"/>
        <v>0.34026962013862699</v>
      </c>
      <c r="H53">
        <f t="shared" si="8"/>
        <v>0.23103485877813415</v>
      </c>
      <c r="I53">
        <f t="shared" si="8"/>
        <v>0.93749747601968125</v>
      </c>
      <c r="J53">
        <f t="shared" si="8"/>
        <v>1.1161993409501259</v>
      </c>
      <c r="K53">
        <f t="shared" si="8"/>
        <v>0.11066795171468748</v>
      </c>
      <c r="L53">
        <f t="shared" si="8"/>
        <v>-0.59582834717806632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52" priority="5" operator="greaterThan">
      <formula>1.96</formula>
    </cfRule>
  </conditionalFormatting>
  <conditionalFormatting sqref="D35:H39">
    <cfRule type="cellIs" dxfId="51" priority="2" operator="notBetween">
      <formula>-1.96</formula>
      <formula>1.96</formula>
    </cfRule>
    <cfRule type="cellIs" priority="3" operator="notBetween">
      <formula>-1.96</formula>
      <formula>1.96</formula>
    </cfRule>
    <cfRule type="cellIs" dxfId="50" priority="4" operator="notBetween">
      <formula>-1.96</formula>
      <formula>1.96</formula>
    </cfRule>
  </conditionalFormatting>
  <conditionalFormatting sqref="I22:I26">
    <cfRule type="cellIs" dxfId="49" priority="1" stopIfTrue="1" operator="notBetween">
      <formula>$J$19</formula>
      <formula>$K$19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0" zoomScaleNormal="100" workbookViewId="0">
      <selection activeCell="P23" sqref="P23:P26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((G29+L29)/2)/B11</f>
        <v>41.125122282582112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1.8262075000000001E-5</v>
      </c>
    </row>
    <row r="17" spans="1:17" x14ac:dyDescent="0.25">
      <c r="A17" t="s">
        <v>23</v>
      </c>
      <c r="B17">
        <v>2.2400000000000002</v>
      </c>
      <c r="D17" t="s">
        <v>1</v>
      </c>
      <c r="E17" s="2">
        <f>E16/(1+$B$10/($B$7*B29))</f>
        <v>1.7237447751182503E-5</v>
      </c>
    </row>
    <row r="18" spans="1:17" x14ac:dyDescent="0.25">
      <c r="A18" t="s">
        <v>24</v>
      </c>
      <c r="B18">
        <v>20.5</v>
      </c>
      <c r="D18" t="s">
        <v>32</v>
      </c>
      <c r="E18" s="1">
        <f>B16/B5</f>
        <v>40915.208613728122</v>
      </c>
    </row>
    <row r="19" spans="1:17" x14ac:dyDescent="0.25">
      <c r="Q19" s="14"/>
    </row>
    <row r="20" spans="1:17" x14ac:dyDescent="0.25">
      <c r="A20" t="s">
        <v>7</v>
      </c>
      <c r="B20">
        <v>1</v>
      </c>
      <c r="Q20" s="14"/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I21" t="s">
        <v>20</v>
      </c>
      <c r="J21" t="s">
        <v>22</v>
      </c>
      <c r="K21" s="14"/>
      <c r="M21" t="s">
        <v>38</v>
      </c>
      <c r="O21" t="s">
        <v>20</v>
      </c>
      <c r="P21" t="s">
        <v>22</v>
      </c>
      <c r="Q21" s="14"/>
    </row>
    <row r="22" spans="1:17" x14ac:dyDescent="0.25">
      <c r="A22">
        <v>1</v>
      </c>
      <c r="B22">
        <v>2.71</v>
      </c>
      <c r="C22" s="1">
        <f>B12/B22</f>
        <v>1.8450184501845018E-4</v>
      </c>
      <c r="D22">
        <f>(($B$10/(2*$B$7))^2+9*E16*C22/(2*$B$6*($B$9-$B$8)))^(1/2)-$B$10/(2*$B$7)</f>
        <v>1.3020301658186201E-6</v>
      </c>
      <c r="E22" s="1">
        <f>(D22+$B$10/(2*$B$7))^(-1)*9*E16/(2*$B$6*($B$9-$B$8))*1/2*C28</f>
        <v>2.9352438391120029E-8</v>
      </c>
      <c r="F22" s="1"/>
      <c r="G22" s="11">
        <v>13.04</v>
      </c>
      <c r="H22" s="11">
        <f>G22-B26</f>
        <v>0.55999999999999872</v>
      </c>
      <c r="I22" s="12">
        <f>$B$12/(G22-B26)</f>
        <v>8.9285714285714489E-4</v>
      </c>
      <c r="J22" s="12">
        <f>(4*PI()/3)*B29^3*($B$9-$B$8)*($B$6/E18)*(1+ABS(I22)/B28)</f>
        <v>1.1813803147752288E-17</v>
      </c>
      <c r="K22" s="19">
        <f>J22/$B$11</f>
        <v>73.735960194902148</v>
      </c>
      <c r="L22" s="11"/>
      <c r="M22" s="11">
        <v>19.13</v>
      </c>
      <c r="N22" s="11">
        <f>M22-G26</f>
        <v>1.3699999999999974</v>
      </c>
      <c r="O22" s="12">
        <f>B12/(M22-G26)</f>
        <v>3.6496350364963572E-4</v>
      </c>
      <c r="P22" s="12">
        <f>-(4*PI()/3)*B29^3*($B$9-$B$8)*($B$6/$E$18)*(1-ABS(O22)/B28)</f>
        <v>1.7643078063573582E-18</v>
      </c>
      <c r="Q22" s="19">
        <f>P22/$B$11</f>
        <v>11.011943279745013</v>
      </c>
    </row>
    <row r="23" spans="1:17" x14ac:dyDescent="0.25">
      <c r="A23">
        <v>2</v>
      </c>
      <c r="B23">
        <v>5.33</v>
      </c>
      <c r="C23" s="1">
        <f>$B$12/(B23-B22)</f>
        <v>1.9083969465648855E-4</v>
      </c>
      <c r="D23">
        <f>(($B$10/(2*$B$7))^2+9*E16*C23/(2*$B$6*($B$9-$B$8)))^(1/2)-$B$10/(2*$B$7)</f>
        <v>1.3248729839776214E-6</v>
      </c>
      <c r="E23" s="1">
        <f>(D23+$B$10/(2*$B$7))^(-1)*9*E16/(2*$B$6*($B$9-$B$8))*1/2*C28</f>
        <v>2.8861356341567664E-8</v>
      </c>
      <c r="F23" s="1"/>
      <c r="G23">
        <v>14.1</v>
      </c>
      <c r="H23">
        <f>G23-G22</f>
        <v>1.0600000000000005</v>
      </c>
      <c r="I23" s="1">
        <f>$B$12/(G23-G22)</f>
        <v>4.7169811320754696E-4</v>
      </c>
      <c r="J23" s="1">
        <f>(4*PI()/3)*B29^3*($B$9-$B$8)*($B$6/E18)*(1+ABS(I23)/B28)</f>
        <v>7.267412491986749E-18</v>
      </c>
      <c r="K23" s="14">
        <f t="shared" ref="K23:K26" si="0">J23/$B$11</f>
        <v>45.359621412942282</v>
      </c>
      <c r="M23">
        <v>19.760000000000002</v>
      </c>
      <c r="N23">
        <f>M23-M22</f>
        <v>0.63000000000000256</v>
      </c>
      <c r="O23" s="1">
        <f>$B$12/(M23-M22)</f>
        <v>7.936507936507904E-4</v>
      </c>
      <c r="P23" s="1">
        <f>-(4*PI()/3)*B29^3*($B$9-$B$8)*($B$6/$E$18)*(1-ABS(O23)/B28)</f>
        <v>6.3919656560020444E-18</v>
      </c>
      <c r="Q23" s="14">
        <f t="shared" ref="Q23:Q26" si="1">P23/$B$11</f>
        <v>39.895511994189782</v>
      </c>
    </row>
    <row r="24" spans="1:17" x14ac:dyDescent="0.25">
      <c r="A24">
        <v>3</v>
      </c>
      <c r="B24" s="11">
        <v>7.49</v>
      </c>
      <c r="C24" s="12">
        <f t="shared" ref="C24:C26" si="2">$B$12/(B24-B23)</f>
        <v>2.3148148148148146E-4</v>
      </c>
      <c r="D24" s="11">
        <f>(($B$10/(2*$B$7))^2+9*E16*C24/(2*$B$6*($B$9-$B$8)))^(1/2)-$B$10/(2*$B$7)</f>
        <v>1.463128433339668E-6</v>
      </c>
      <c r="E24" s="12"/>
      <c r="F24" s="1"/>
      <c r="G24">
        <v>15.15</v>
      </c>
      <c r="H24">
        <f t="shared" ref="H24:H26" si="3">G24-G23</f>
        <v>1.0500000000000007</v>
      </c>
      <c r="I24" s="1">
        <f>$B$12/(G24-G23)</f>
        <v>4.7619047619047586E-4</v>
      </c>
      <c r="J24" s="1">
        <f>(4*PI()/3)*B29^3*($B$9-$B$8)*($B$6/E18)*(1+ABS(I24)/B28)</f>
        <v>7.3159073256482476E-18</v>
      </c>
      <c r="K24" s="14">
        <f t="shared" si="0"/>
        <v>45.662302359949848</v>
      </c>
      <c r="M24">
        <v>20.41</v>
      </c>
      <c r="N24">
        <f t="shared" ref="N24:N26" si="4">M24-M23</f>
        <v>0.64999999999999858</v>
      </c>
      <c r="O24" s="1">
        <f>$B$12/(M24-M23)</f>
        <v>7.6923076923077096E-4</v>
      </c>
      <c r="P24" s="1">
        <f>-(4*PI()/3)*B29^3*($B$9-$B$8)*($B$6/E18)*(1-ABS(O24)/B28)</f>
        <v>6.1283527140472845E-18</v>
      </c>
      <c r="Q24" s="14">
        <f t="shared" si="1"/>
        <v>38.250169410456657</v>
      </c>
    </row>
    <row r="25" spans="1:17" x14ac:dyDescent="0.25">
      <c r="A25">
        <v>4</v>
      </c>
      <c r="B25">
        <v>9.98</v>
      </c>
      <c r="C25" s="1">
        <f t="shared" si="2"/>
        <v>2.008032128514056E-4</v>
      </c>
      <c r="D25">
        <f>(($B$10/(2*$B$7))^2+9*E16*C25/(2*$B$6*($B$9-$B$8)))^(1/2)-$B$10/(2*$B$7)</f>
        <v>1.3600303520188578E-6</v>
      </c>
      <c r="E25" s="1">
        <f>(D25+$B$10/(2*$B$7))^(-1)*9*E16/(2*$B$6*($B$9-$B$8))*1/2*C28</f>
        <v>2.8136834010267898E-8</v>
      </c>
      <c r="F25" s="1"/>
      <c r="G25">
        <v>16.57</v>
      </c>
      <c r="H25">
        <f t="shared" si="3"/>
        <v>1.42</v>
      </c>
      <c r="I25" s="1">
        <f>$B$12/(G25-G24)</f>
        <v>3.5211267605633805E-4</v>
      </c>
      <c r="J25" s="1">
        <f>(4*PI()/3)*B29^3*($B$9-$B$8)*($B$6/E18)*(1+ABS(I25)/B28)</f>
        <v>5.9764936804341787E-18</v>
      </c>
      <c r="K25" s="14">
        <f t="shared" si="0"/>
        <v>37.302339865839372</v>
      </c>
      <c r="M25">
        <v>21.06</v>
      </c>
      <c r="N25">
        <f t="shared" si="4"/>
        <v>0.64999999999999858</v>
      </c>
      <c r="O25" s="1">
        <f>$B$12/(M25-M24)</f>
        <v>7.6923076923077096E-4</v>
      </c>
      <c r="P25" s="1">
        <f>-(4*PI()/3)*B29^3*($B$9-$B$8)*($B$6/E18)*(1-ABS(O25)/B28)</f>
        <v>6.1283527140472845E-18</v>
      </c>
      <c r="Q25" s="14">
        <f t="shared" si="1"/>
        <v>38.250169410456657</v>
      </c>
    </row>
    <row r="26" spans="1:17" x14ac:dyDescent="0.25">
      <c r="A26">
        <v>5</v>
      </c>
      <c r="B26">
        <v>12.48</v>
      </c>
      <c r="C26" s="1">
        <f t="shared" si="2"/>
        <v>2.0000000000000001E-4</v>
      </c>
      <c r="D26">
        <f>(($B$10/(2*$B$7))^2+9*E16*C26/(2*$B$6*($B$9-$B$8)))^(1/2)-$B$10/(2*$B$7)</f>
        <v>1.3572288998991839E-6</v>
      </c>
      <c r="E26" s="1">
        <f>(D26+$B$10/(2*$B$7))^(-1)*9*E16/(2*$B$6*($B$9-$B$8))*1/2*C28</f>
        <v>2.8193229804738981E-8</v>
      </c>
      <c r="F26" s="1"/>
      <c r="G26">
        <v>17.760000000000002</v>
      </c>
      <c r="H26">
        <f t="shared" si="3"/>
        <v>1.1900000000000013</v>
      </c>
      <c r="I26" s="1">
        <f>$B$12/(G26-G25)</f>
        <v>4.2016806722689029E-4</v>
      </c>
      <c r="J26" s="1">
        <f>(4*PI()/3)*B29^3*($B$9-$B$8)*($B$6/E18)*(1+ABS(I26)/B28)</f>
        <v>6.7111482235166132E-18</v>
      </c>
      <c r="K26" s="14">
        <f t="shared" si="0"/>
        <v>41.887692903149549</v>
      </c>
      <c r="M26">
        <v>21.69</v>
      </c>
      <c r="N26">
        <f t="shared" si="4"/>
        <v>0.63000000000000256</v>
      </c>
      <c r="O26" s="1">
        <f>$B$12/(M26-M25)</f>
        <v>7.936507936507904E-4</v>
      </c>
      <c r="P26" s="1">
        <f>-(4*PI()/3)*B29^3*($B$9-$B$8)*($B$6/E18)*(1-ABS(O26)/B28)</f>
        <v>6.3919656560020444E-18</v>
      </c>
      <c r="Q26" s="14">
        <f t="shared" si="1"/>
        <v>39.895511994189782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4"/>
      <c r="L27" s="1" t="s">
        <v>28</v>
      </c>
      <c r="M27" s="1" t="s">
        <v>29</v>
      </c>
      <c r="N27" t="s">
        <v>34</v>
      </c>
      <c r="Q27" s="14"/>
    </row>
    <row r="28" spans="1:17" x14ac:dyDescent="0.25">
      <c r="A28" t="s">
        <v>27</v>
      </c>
      <c r="B28" s="1">
        <f>AVERAGE(C22:C26)</f>
        <v>2.0152524680156517E-4</v>
      </c>
      <c r="C28" s="1">
        <f>_xlfn.STDEV.S(C22:C26)/SQRT(COUNT(C22:C26))</f>
        <v>8.0752738032329327E-6</v>
      </c>
      <c r="F28" t="str">
        <f>J28</f>
        <v>Velocità</v>
      </c>
      <c r="G28" s="1">
        <f>AVERAGE(I22:I26)</f>
        <v>5.2260529510767917E-4</v>
      </c>
      <c r="H28" s="1">
        <f>_xlfn.STDEV.S(I22:I26)</f>
        <v>2.1295153565595027E-4</v>
      </c>
      <c r="I28" s="2">
        <f>H28/SQRT(5)</f>
        <v>9.5234821927935018E-5</v>
      </c>
      <c r="J28" t="s">
        <v>27</v>
      </c>
      <c r="L28" s="1">
        <f>AVERAGE(O22:O26)</f>
        <v>6.9814532588255169E-4</v>
      </c>
      <c r="M28" s="1">
        <f>_xlfn.STDEV.S(O22:O26)</f>
        <v>1.8665408910986409E-4</v>
      </c>
      <c r="N28" s="2">
        <f>M28/SQRT(5)</f>
        <v>8.3474246305591856E-5</v>
      </c>
      <c r="Q28" s="14"/>
    </row>
    <row r="29" spans="1:17" x14ac:dyDescent="0.25">
      <c r="A29" t="s">
        <v>5</v>
      </c>
      <c r="B29">
        <f>AVERAGE(D22:D26)</f>
        <v>1.3614581670107903E-6</v>
      </c>
      <c r="C29">
        <f>_xlfn.STDEV.S(D22:D26)/SQRT(COUNT(D22:D26))</f>
        <v>2.7592509268463119E-8</v>
      </c>
      <c r="D29" s="1">
        <f>(B29+$B$10/(2*$B$7))^(-1)*9*E16/(2*$B$6*($B$9-$B$8))*1/2*C28</f>
        <v>2.8108177499545376E-8</v>
      </c>
      <c r="F29" t="str">
        <f>J29</f>
        <v>Carica</v>
      </c>
      <c r="G29">
        <f>AVERAGE(J22:J26)</f>
        <v>7.8169529738676166E-18</v>
      </c>
      <c r="H29">
        <f>_xlfn.STDEV.S(J22:J26)</f>
        <v>2.2988011740900793E-18</v>
      </c>
      <c r="I29" s="2">
        <f>H29/SQRT(5)</f>
        <v>1.0280551384043491E-18</v>
      </c>
      <c r="J29" t="s">
        <v>33</v>
      </c>
      <c r="L29">
        <f>AVERAGE(P22:P26)</f>
        <v>5.3609889092912035E-18</v>
      </c>
      <c r="M29">
        <f>_xlfn.STDEV.S(P22:P26)</f>
        <v>2.0149215542061321E-18</v>
      </c>
      <c r="N29" s="2">
        <f>M29/SQRT(5)</f>
        <v>9.0110031290688766E-19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  <c r="L32" t="s">
        <v>40</v>
      </c>
      <c r="M32" t="s">
        <v>41</v>
      </c>
      <c r="N32" t="s">
        <v>42</v>
      </c>
      <c r="O32" t="s">
        <v>43</v>
      </c>
    </row>
    <row r="33" spans="1:15" x14ac:dyDescent="0.25">
      <c r="B33" t="s">
        <v>26</v>
      </c>
      <c r="D33">
        <f t="array" ref="D33:H34">TRANSPOSE(B35:C39)</f>
        <v>2.9352438391120029E-8</v>
      </c>
      <c r="E33">
        <v>2.8861356341567664E-8</v>
      </c>
      <c r="F33">
        <v>0</v>
      </c>
      <c r="G33">
        <v>2.8136834010267898E-8</v>
      </c>
      <c r="H33">
        <v>2.8193229804738981E-8</v>
      </c>
      <c r="K33" t="s">
        <v>39</v>
      </c>
      <c r="L33">
        <f>AVERAGE(H22:H26,N22:N26)</f>
        <v>0.92100000000000004</v>
      </c>
      <c r="M33">
        <f>_xlfn.STDEV.P(H22:H26,N22:N26)</f>
        <v>0.31709462310168512</v>
      </c>
      <c r="N33">
        <f>L33+1.96*M33</f>
        <v>1.542505461279303</v>
      </c>
      <c r="O33">
        <f>L33-1.96*M33</f>
        <v>0.2994945387206972</v>
      </c>
    </row>
    <row r="34" spans="1:15" x14ac:dyDescent="0.25">
      <c r="C34" t="s">
        <v>21</v>
      </c>
      <c r="D34">
        <v>1.3020301658186201E-6</v>
      </c>
      <c r="E34">
        <v>1.3248729839776214E-6</v>
      </c>
      <c r="F34">
        <v>1.463128433339668E-6</v>
      </c>
      <c r="G34">
        <v>1.3600303520188578E-6</v>
      </c>
      <c r="H34">
        <v>1.3572288998991839E-6</v>
      </c>
    </row>
    <row r="35" spans="1:15" x14ac:dyDescent="0.25">
      <c r="A35">
        <v>1</v>
      </c>
      <c r="B35" s="1">
        <f>E22</f>
        <v>2.9352438391120029E-8</v>
      </c>
      <c r="C35">
        <f>D22</f>
        <v>1.3020301658186201E-6</v>
      </c>
      <c r="D35">
        <f t="shared" ref="D35:H39" si="5">($C35-D$34)/SQRT($B35^2+D$33^2)</f>
        <v>0</v>
      </c>
      <c r="E35">
        <f t="shared" si="5"/>
        <v>-0.5549109794436573</v>
      </c>
      <c r="F35">
        <f t="shared" si="5"/>
        <v>-5.48841174196229</v>
      </c>
      <c r="G35">
        <f t="shared" si="5"/>
        <v>-1.426462986790223</v>
      </c>
      <c r="H35">
        <f t="shared" si="5"/>
        <v>-1.3562613347264705</v>
      </c>
    </row>
    <row r="36" spans="1:15" x14ac:dyDescent="0.25">
      <c r="A36">
        <v>2</v>
      </c>
      <c r="B36">
        <f>E23</f>
        <v>2.8861356341567664E-8</v>
      </c>
      <c r="C36">
        <f>D23</f>
        <v>1.3248729839776214E-6</v>
      </c>
      <c r="D36">
        <f t="shared" si="5"/>
        <v>0.5549109794436573</v>
      </c>
      <c r="E36">
        <f t="shared" si="5"/>
        <v>0</v>
      </c>
      <c r="F36">
        <f t="shared" si="5"/>
        <v>-4.7903309784136399</v>
      </c>
      <c r="G36">
        <f t="shared" si="5"/>
        <v>-0.87223840015526866</v>
      </c>
      <c r="H36">
        <f t="shared" si="5"/>
        <v>-0.80195197433408627</v>
      </c>
    </row>
    <row r="37" spans="1:15" x14ac:dyDescent="0.25">
      <c r="A37">
        <v>3</v>
      </c>
      <c r="B37">
        <f>E24</f>
        <v>0</v>
      </c>
      <c r="C37">
        <f>D24</f>
        <v>1.463128433339668E-6</v>
      </c>
      <c r="D37">
        <f t="shared" si="5"/>
        <v>5.48841174196229</v>
      </c>
      <c r="E37">
        <f t="shared" si="5"/>
        <v>4.7903309784136399</v>
      </c>
      <c r="F37" t="e">
        <f t="shared" si="5"/>
        <v>#DIV/0!</v>
      </c>
      <c r="G37">
        <f t="shared" si="5"/>
        <v>3.6641678052046252</v>
      </c>
      <c r="H37">
        <f t="shared" si="5"/>
        <v>3.7562043857310545</v>
      </c>
    </row>
    <row r="38" spans="1:15" x14ac:dyDescent="0.25">
      <c r="A38">
        <v>4</v>
      </c>
      <c r="B38">
        <f>E25</f>
        <v>2.8136834010267898E-8</v>
      </c>
      <c r="C38">
        <f>D25</f>
        <v>1.3600303520188578E-6</v>
      </c>
      <c r="D38">
        <f t="shared" si="5"/>
        <v>1.426462986790223</v>
      </c>
      <c r="E38">
        <f t="shared" si="5"/>
        <v>0.87223840015526866</v>
      </c>
      <c r="F38">
        <f t="shared" si="5"/>
        <v>-3.6641678052046252</v>
      </c>
      <c r="G38">
        <f t="shared" si="5"/>
        <v>0</v>
      </c>
      <c r="H38">
        <f t="shared" si="5"/>
        <v>7.033277308974302E-2</v>
      </c>
    </row>
    <row r="39" spans="1:15" x14ac:dyDescent="0.25">
      <c r="A39">
        <v>5</v>
      </c>
      <c r="B39">
        <f>E26</f>
        <v>2.8193229804738981E-8</v>
      </c>
      <c r="C39">
        <f>D26</f>
        <v>1.3572288998991839E-6</v>
      </c>
      <c r="D39">
        <f t="shared" si="5"/>
        <v>1.3562613347264705</v>
      </c>
      <c r="E39">
        <f t="shared" si="5"/>
        <v>0.80195197433408627</v>
      </c>
      <c r="F39">
        <f t="shared" si="5"/>
        <v>-3.7562043857310545</v>
      </c>
      <c r="G39">
        <f t="shared" si="5"/>
        <v>-7.033277308974302E-2</v>
      </c>
      <c r="H39">
        <f t="shared" si="5"/>
        <v>0</v>
      </c>
    </row>
    <row r="41" spans="1:15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5" x14ac:dyDescent="0.25">
      <c r="B42" t="s">
        <v>26</v>
      </c>
      <c r="D42">
        <v>2.2988011740900793E-18</v>
      </c>
      <c r="E42">
        <v>2.2988011740900793E-18</v>
      </c>
      <c r="F42">
        <v>2.2988011740900793E-18</v>
      </c>
      <c r="G42">
        <v>2.2988011740900793E-18</v>
      </c>
      <c r="H42">
        <v>2.2988011740900793E-18</v>
      </c>
      <c r="I42">
        <v>2.0149215542061321E-18</v>
      </c>
      <c r="J42">
        <v>2.0149215542061321E-18</v>
      </c>
      <c r="K42">
        <v>2.0149215542061321E-18</v>
      </c>
      <c r="L42">
        <v>2.0149215542061321E-18</v>
      </c>
      <c r="M42">
        <v>2.0149215542061321E-18</v>
      </c>
    </row>
    <row r="43" spans="1:15" x14ac:dyDescent="0.25">
      <c r="C43" t="s">
        <v>35</v>
      </c>
      <c r="D43">
        <v>1.1813803147752288E-17</v>
      </c>
      <c r="E43">
        <v>7.267412491986749E-18</v>
      </c>
      <c r="F43">
        <v>7.3159073256482476E-18</v>
      </c>
      <c r="G43">
        <v>5.9764936804341787E-18</v>
      </c>
      <c r="H43">
        <v>6.7111482235166132E-18</v>
      </c>
      <c r="I43">
        <v>1.7643078063573582E-18</v>
      </c>
      <c r="J43">
        <v>6.3919656560020444E-18</v>
      </c>
      <c r="K43">
        <v>6.1283527140472845E-18</v>
      </c>
      <c r="L43">
        <v>6.1283527140472845E-18</v>
      </c>
      <c r="M43">
        <v>6.3919656560020444E-18</v>
      </c>
    </row>
    <row r="44" spans="1:15" x14ac:dyDescent="0.25">
      <c r="A44">
        <v>1</v>
      </c>
      <c r="B44">
        <f>$H$29</f>
        <v>2.2988011740900793E-18</v>
      </c>
      <c r="C44" s="1">
        <f>J22</f>
        <v>1.1813803147752288E-17</v>
      </c>
      <c r="D44">
        <f>($C44-D$43)/SQRT($B44^2+D$42^2)</f>
        <v>0</v>
      </c>
      <c r="E44">
        <f t="shared" ref="E44:M44" si="6">($C44-E$43)/SQRT($B44^2+E$42^2)</f>
        <v>1.398460945143486</v>
      </c>
      <c r="F44">
        <f t="shared" si="6"/>
        <v>1.3835440283952889</v>
      </c>
      <c r="G44">
        <f t="shared" si="6"/>
        <v>1.7955450670321118</v>
      </c>
      <c r="H44">
        <f t="shared" si="6"/>
        <v>1.5695667549022181</v>
      </c>
      <c r="I44">
        <f t="shared" si="6"/>
        <v>3.2875218091402751</v>
      </c>
      <c r="J44">
        <f t="shared" si="6"/>
        <v>1.7736620988640808</v>
      </c>
      <c r="K44">
        <f t="shared" si="6"/>
        <v>1.8598985979525622</v>
      </c>
      <c r="L44">
        <f t="shared" si="6"/>
        <v>1.8598985979525622</v>
      </c>
      <c r="M44">
        <f t="shared" si="6"/>
        <v>1.7736620988640808</v>
      </c>
    </row>
    <row r="45" spans="1:15" x14ac:dyDescent="0.25">
      <c r="A45">
        <v>2</v>
      </c>
      <c r="B45">
        <f t="shared" ref="B45:B48" si="7">$H$29</f>
        <v>2.2988011740900793E-18</v>
      </c>
      <c r="C45" s="1">
        <f>J23</f>
        <v>7.267412491986749E-18</v>
      </c>
      <c r="D45">
        <f t="shared" ref="D45:M53" si="8">($C45-D$43)/SQRT($B45^2+D$42^2)</f>
        <v>-1.398460945143486</v>
      </c>
      <c r="E45">
        <f t="shared" si="8"/>
        <v>0</v>
      </c>
      <c r="F45">
        <f t="shared" si="8"/>
        <v>-1.4916916748197022E-2</v>
      </c>
      <c r="G45">
        <f t="shared" si="8"/>
        <v>0.39708412188862585</v>
      </c>
      <c r="H45">
        <f t="shared" si="8"/>
        <v>0.17110580975873216</v>
      </c>
      <c r="I45">
        <f t="shared" si="8"/>
        <v>1.8002472818179784</v>
      </c>
      <c r="J45">
        <f t="shared" si="8"/>
        <v>0.28638757154178401</v>
      </c>
      <c r="K45">
        <f t="shared" si="8"/>
        <v>0.37262407063026554</v>
      </c>
      <c r="L45">
        <f t="shared" si="8"/>
        <v>0.37262407063026554</v>
      </c>
      <c r="M45">
        <f t="shared" si="8"/>
        <v>0.28638757154178401</v>
      </c>
    </row>
    <row r="46" spans="1:15" x14ac:dyDescent="0.25">
      <c r="A46">
        <v>3</v>
      </c>
      <c r="B46">
        <f t="shared" si="7"/>
        <v>2.2988011740900793E-18</v>
      </c>
      <c r="C46" s="1">
        <f>J24</f>
        <v>7.3159073256482476E-18</v>
      </c>
      <c r="D46">
        <f t="shared" si="8"/>
        <v>-1.3835440283952889</v>
      </c>
      <c r="E46">
        <f t="shared" si="8"/>
        <v>1.4916916748197022E-2</v>
      </c>
      <c r="F46">
        <f t="shared" si="8"/>
        <v>0</v>
      </c>
      <c r="G46">
        <f t="shared" si="8"/>
        <v>0.41200103863682291</v>
      </c>
      <c r="H46">
        <f t="shared" si="8"/>
        <v>0.18602272650692916</v>
      </c>
      <c r="I46">
        <f t="shared" si="8"/>
        <v>1.8161115434427495</v>
      </c>
      <c r="J46">
        <f t="shared" si="8"/>
        <v>0.30225183316655502</v>
      </c>
      <c r="K46">
        <f t="shared" si="8"/>
        <v>0.38848833225503648</v>
      </c>
      <c r="L46">
        <f t="shared" si="8"/>
        <v>0.38848833225503648</v>
      </c>
      <c r="M46">
        <f t="shared" si="8"/>
        <v>0.30225183316655502</v>
      </c>
    </row>
    <row r="47" spans="1:15" x14ac:dyDescent="0.25">
      <c r="A47">
        <v>4</v>
      </c>
      <c r="B47">
        <f t="shared" si="7"/>
        <v>2.2988011740900793E-18</v>
      </c>
      <c r="C47" s="1">
        <f>J25</f>
        <v>5.9764936804341787E-18</v>
      </c>
      <c r="D47">
        <f t="shared" si="8"/>
        <v>-1.7955450670321118</v>
      </c>
      <c r="E47">
        <f t="shared" si="8"/>
        <v>-0.39708412188862585</v>
      </c>
      <c r="F47">
        <f t="shared" si="8"/>
        <v>-0.41200103863682291</v>
      </c>
      <c r="G47">
        <f t="shared" si="8"/>
        <v>0</v>
      </c>
      <c r="H47">
        <f t="shared" si="8"/>
        <v>-0.22597831212989372</v>
      </c>
      <c r="I47">
        <f t="shared" si="8"/>
        <v>1.3779451061726651</v>
      </c>
      <c r="J47">
        <f t="shared" si="8"/>
        <v>-0.13591460410352935</v>
      </c>
      <c r="K47">
        <f t="shared" si="8"/>
        <v>-4.9678105015047845E-2</v>
      </c>
      <c r="L47">
        <f t="shared" si="8"/>
        <v>-4.9678105015047845E-2</v>
      </c>
      <c r="M47">
        <f t="shared" si="8"/>
        <v>-0.13591460410352935</v>
      </c>
    </row>
    <row r="48" spans="1:15" x14ac:dyDescent="0.25">
      <c r="A48">
        <v>5</v>
      </c>
      <c r="B48">
        <f t="shared" si="7"/>
        <v>2.2988011740900793E-18</v>
      </c>
      <c r="C48" s="1">
        <f>J26</f>
        <v>6.7111482235166132E-18</v>
      </c>
      <c r="D48">
        <f t="shared" si="8"/>
        <v>-1.5695667549022181</v>
      </c>
      <c r="E48">
        <f t="shared" si="8"/>
        <v>-0.17110580975873216</v>
      </c>
      <c r="F48">
        <f t="shared" si="8"/>
        <v>-0.18602272650692916</v>
      </c>
      <c r="G48">
        <f t="shared" si="8"/>
        <v>0.22597831212989372</v>
      </c>
      <c r="H48">
        <f t="shared" si="8"/>
        <v>0</v>
      </c>
      <c r="I48">
        <f t="shared" si="8"/>
        <v>1.6182748690632507</v>
      </c>
      <c r="J48">
        <f t="shared" si="8"/>
        <v>0.10441515878705621</v>
      </c>
      <c r="K48">
        <f t="shared" si="8"/>
        <v>0.1906516578755377</v>
      </c>
      <c r="L48">
        <f t="shared" si="8"/>
        <v>0.1906516578755377</v>
      </c>
      <c r="M48">
        <f t="shared" si="8"/>
        <v>0.10441515878705621</v>
      </c>
    </row>
    <row r="49" spans="1:13" x14ac:dyDescent="0.25">
      <c r="A49">
        <v>6</v>
      </c>
      <c r="B49">
        <f>$M$29</f>
        <v>2.0149215542061321E-18</v>
      </c>
      <c r="C49" s="1">
        <f>P22</f>
        <v>1.7643078063573582E-18</v>
      </c>
      <c r="D49">
        <f t="shared" si="8"/>
        <v>-3.2875218091402751</v>
      </c>
      <c r="E49">
        <f t="shared" si="8"/>
        <v>-1.8002472818179784</v>
      </c>
      <c r="F49">
        <f t="shared" si="8"/>
        <v>-1.8161115434427495</v>
      </c>
      <c r="G49">
        <f t="shared" si="8"/>
        <v>-1.3779451061726651</v>
      </c>
      <c r="H49">
        <f t="shared" si="8"/>
        <v>-1.6182748690632507</v>
      </c>
      <c r="I49">
        <f t="shared" si="8"/>
        <v>0</v>
      </c>
      <c r="J49">
        <f t="shared" si="8"/>
        <v>-1.6240077633117393</v>
      </c>
      <c r="K49">
        <f t="shared" si="8"/>
        <v>-1.5314967181667645</v>
      </c>
      <c r="L49">
        <f t="shared" si="8"/>
        <v>-1.5314967181667645</v>
      </c>
      <c r="M49">
        <f t="shared" si="8"/>
        <v>-1.6240077633117393</v>
      </c>
    </row>
    <row r="50" spans="1:13" x14ac:dyDescent="0.25">
      <c r="A50">
        <v>7</v>
      </c>
      <c r="B50">
        <f t="shared" ref="B50:B53" si="9">$M$29</f>
        <v>2.0149215542061321E-18</v>
      </c>
      <c r="C50" s="1">
        <f t="shared" ref="C50:C53" si="10">P23</f>
        <v>6.3919656560020444E-18</v>
      </c>
      <c r="D50">
        <f t="shared" si="8"/>
        <v>-1.7736620988640808</v>
      </c>
      <c r="E50">
        <f t="shared" si="8"/>
        <v>-0.28638757154178401</v>
      </c>
      <c r="F50">
        <f t="shared" si="8"/>
        <v>-0.30225183316655502</v>
      </c>
      <c r="G50">
        <f t="shared" si="8"/>
        <v>0.13591460410352935</v>
      </c>
      <c r="H50">
        <f t="shared" si="8"/>
        <v>-0.10441515878705621</v>
      </c>
      <c r="I50">
        <f t="shared" si="8"/>
        <v>1.6240077633117393</v>
      </c>
      <c r="J50">
        <f t="shared" si="8"/>
        <v>0</v>
      </c>
      <c r="K50">
        <f t="shared" si="8"/>
        <v>9.2511045144974921E-2</v>
      </c>
      <c r="L50">
        <f t="shared" si="8"/>
        <v>9.2511045144974921E-2</v>
      </c>
      <c r="M50">
        <f t="shared" si="8"/>
        <v>0</v>
      </c>
    </row>
    <row r="51" spans="1:13" x14ac:dyDescent="0.25">
      <c r="A51">
        <v>8</v>
      </c>
      <c r="B51">
        <f t="shared" si="9"/>
        <v>2.0149215542061321E-18</v>
      </c>
      <c r="C51" s="1">
        <f t="shared" si="10"/>
        <v>6.1283527140472845E-18</v>
      </c>
      <c r="D51">
        <f t="shared" si="8"/>
        <v>-1.8598985979525622</v>
      </c>
      <c r="E51">
        <f t="shared" si="8"/>
        <v>-0.37262407063026554</v>
      </c>
      <c r="F51">
        <f t="shared" si="8"/>
        <v>-0.38848833225503648</v>
      </c>
      <c r="G51">
        <f t="shared" si="8"/>
        <v>4.9678105015047845E-2</v>
      </c>
      <c r="H51">
        <f t="shared" si="8"/>
        <v>-0.1906516578755377</v>
      </c>
      <c r="I51">
        <f t="shared" si="8"/>
        <v>1.5314967181667645</v>
      </c>
      <c r="J51">
        <f t="shared" si="8"/>
        <v>-9.2511045144974921E-2</v>
      </c>
      <c r="K51">
        <f t="shared" si="8"/>
        <v>0</v>
      </c>
      <c r="L51">
        <f t="shared" si="8"/>
        <v>0</v>
      </c>
      <c r="M51">
        <f t="shared" si="8"/>
        <v>-9.2511045144974921E-2</v>
      </c>
    </row>
    <row r="52" spans="1:13" x14ac:dyDescent="0.25">
      <c r="A52">
        <v>9</v>
      </c>
      <c r="B52">
        <f t="shared" si="9"/>
        <v>2.0149215542061321E-18</v>
      </c>
      <c r="C52" s="1">
        <f t="shared" si="10"/>
        <v>6.1283527140472845E-18</v>
      </c>
      <c r="D52">
        <f t="shared" si="8"/>
        <v>-1.8598985979525622</v>
      </c>
      <c r="E52">
        <f t="shared" si="8"/>
        <v>-0.37262407063026554</v>
      </c>
      <c r="F52">
        <f t="shared" si="8"/>
        <v>-0.38848833225503648</v>
      </c>
      <c r="G52">
        <f t="shared" si="8"/>
        <v>4.9678105015047845E-2</v>
      </c>
      <c r="H52">
        <f t="shared" si="8"/>
        <v>-0.1906516578755377</v>
      </c>
      <c r="I52">
        <f t="shared" si="8"/>
        <v>1.5314967181667645</v>
      </c>
      <c r="J52">
        <f t="shared" si="8"/>
        <v>-9.2511045144974921E-2</v>
      </c>
      <c r="K52">
        <f t="shared" si="8"/>
        <v>0</v>
      </c>
      <c r="L52">
        <f t="shared" si="8"/>
        <v>0</v>
      </c>
      <c r="M52">
        <f t="shared" si="8"/>
        <v>-9.2511045144974921E-2</v>
      </c>
    </row>
    <row r="53" spans="1:13" x14ac:dyDescent="0.25">
      <c r="A53">
        <v>10</v>
      </c>
      <c r="B53">
        <f t="shared" si="9"/>
        <v>2.0149215542061321E-18</v>
      </c>
      <c r="C53" s="1">
        <f t="shared" si="10"/>
        <v>6.3919656560020444E-18</v>
      </c>
      <c r="D53">
        <f t="shared" si="8"/>
        <v>-1.7736620988640808</v>
      </c>
      <c r="E53">
        <f t="shared" si="8"/>
        <v>-0.28638757154178401</v>
      </c>
      <c r="F53">
        <f t="shared" si="8"/>
        <v>-0.30225183316655502</v>
      </c>
      <c r="G53">
        <f t="shared" si="8"/>
        <v>0.13591460410352935</v>
      </c>
      <c r="H53">
        <f t="shared" si="8"/>
        <v>-0.10441515878705621</v>
      </c>
      <c r="I53">
        <f t="shared" si="8"/>
        <v>1.6240077633117393</v>
      </c>
      <c r="J53">
        <f t="shared" si="8"/>
        <v>0</v>
      </c>
      <c r="K53">
        <f t="shared" si="8"/>
        <v>9.2511045144974921E-2</v>
      </c>
      <c r="L53">
        <f t="shared" si="8"/>
        <v>9.2511045144974921E-2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48" priority="2" operator="greaterThan">
      <formula>1.96</formula>
    </cfRule>
  </conditionalFormatting>
  <conditionalFormatting sqref="D35:H39">
    <cfRule type="cellIs" dxfId="47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10" zoomScaleNormal="100" workbookViewId="0">
      <selection activeCell="P24" sqref="P24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18.578776277445847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3" x14ac:dyDescent="0.25">
      <c r="A17" t="s">
        <v>23</v>
      </c>
      <c r="B17">
        <v>2.2400000000000002</v>
      </c>
      <c r="D17" t="s">
        <v>1</v>
      </c>
      <c r="E17" s="2">
        <f>E16/(1+$B$10/($B$7*B29))</f>
        <v>1.6685825381665217E-5</v>
      </c>
    </row>
    <row r="18" spans="1:13" x14ac:dyDescent="0.2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3" x14ac:dyDescent="0.25">
      <c r="A20" t="s">
        <v>7</v>
      </c>
      <c r="B20">
        <v>1</v>
      </c>
    </row>
    <row r="21" spans="1:13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25">
      <c r="A22">
        <v>1</v>
      </c>
      <c r="B22">
        <v>6.04</v>
      </c>
      <c r="C22" s="1">
        <f>B12/B22</f>
        <v>8.2781456953642384E-5</v>
      </c>
      <c r="D22">
        <f>(($B$10/(2*$B$7))^2+9*E16*C22/(2*$B$6*($B$9-$B$8)))^(1/2)-$B$10/(2*$B$7)</f>
        <v>8.5928396857217271E-7</v>
      </c>
      <c r="E22" s="1">
        <f>(D22+$B$10/(2*$B$7))^(-1)*9*E16/(2*$B$6*($B$9-$B$8))*1/2*C28</f>
        <v>3.0416966390728028E-9</v>
      </c>
      <c r="F22" s="1"/>
      <c r="G22" s="11">
        <v>31.34</v>
      </c>
      <c r="H22" s="12">
        <f>$B$12/(G22-B26)</f>
        <v>5.2083333333333289E-4</v>
      </c>
      <c r="I22" s="12">
        <f>(4*PI()/3)*B29^3*($B$9-$B$8)*($B$6/E18)*(1+ABS(H22)/B28)</f>
        <v>3.0260938838459123E-18</v>
      </c>
      <c r="J22" s="11"/>
      <c r="K22" s="11">
        <v>35.97</v>
      </c>
      <c r="L22" s="12">
        <f>B12/(K22-G26)</f>
        <v>6.6666666666666664E-4</v>
      </c>
      <c r="M22" s="12">
        <f>-(4*PI()/3)*B29^3*($B$9-$B$8)*($B$6/$E$18)*(1-ABS(L22)/B28)</f>
        <v>2.9318736761116132E-18</v>
      </c>
    </row>
    <row r="23" spans="1:13" x14ac:dyDescent="0.25">
      <c r="A23">
        <v>2</v>
      </c>
      <c r="B23">
        <v>12.22</v>
      </c>
      <c r="C23" s="1">
        <f>$B$12/(B23-B22)</f>
        <v>8.0906148867313903E-5</v>
      </c>
      <c r="D23">
        <f>(($B$10/(2*$B$7))^2+9*E16*C23/(2*$B$6*($B$9-$B$8)))^(1/2)-$B$10/(2*$B$7)</f>
        <v>8.4905511862190766E-7</v>
      </c>
      <c r="E23" s="1">
        <f>(D23+$B$10/(2*$B$7))^(-1)*9*E16/(2*$B$6*($B$9-$B$8))*1/2*C28</f>
        <v>3.0766740363798603E-9</v>
      </c>
      <c r="F23" s="1"/>
      <c r="G23" s="11">
        <v>32.24</v>
      </c>
      <c r="H23" s="12">
        <f>$B$12/(G23-G22)</f>
        <v>5.5555555555555425E-4</v>
      </c>
      <c r="I23" s="12">
        <f>(4*PI()/3)*B29^3*($B$9-$B$8)*($B$6/E18)*(1+ABS(H23)/B28)</f>
        <v>3.2003034616224439E-18</v>
      </c>
      <c r="J23" s="11"/>
      <c r="K23" s="11">
        <v>36.76</v>
      </c>
      <c r="L23" s="12">
        <f>$B$12/(K23-K22)</f>
        <v>6.3291139240506395E-4</v>
      </c>
      <c r="M23" s="12">
        <f>-(4*PI()/3)*B29^3*($B$9-$B$8)*($B$6/$E$18)*(1-ABS(L23)/B28)</f>
        <v>2.7625155042984779E-18</v>
      </c>
    </row>
    <row r="24" spans="1:13" x14ac:dyDescent="0.25">
      <c r="A24">
        <v>3</v>
      </c>
      <c r="B24">
        <v>18.23</v>
      </c>
      <c r="C24" s="1">
        <f t="shared" ref="C24:C26" si="0">$B$12/(B24-B23)</f>
        <v>8.3194675540765393E-5</v>
      </c>
      <c r="D24">
        <f>(($B$10/(2*$B$7))^2+9*E16*C24/(2*$B$6*($B$9-$B$8)))^(1/2)-$B$10/(2*$B$7)</f>
        <v>8.6152226948283612E-7</v>
      </c>
      <c r="E24" s="1">
        <f>(D24+$B$10/(2*$B$7))^(-1)*9*E16/(2*$B$6*($B$9-$B$8))*1/2*C28</f>
        <v>3.0341485935093097E-9</v>
      </c>
      <c r="F24" s="1"/>
      <c r="G24" s="11">
        <v>33.15</v>
      </c>
      <c r="H24" s="12">
        <f>$B$12/(G24-G23)</f>
        <v>5.4945054945055151E-4</v>
      </c>
      <c r="I24" s="12">
        <f>(4*PI()/3)*B29^3*($B$9-$B$8)*($B$6/E18)*(1+ABS(H24)/B28)</f>
        <v>3.1696732061892239E-18</v>
      </c>
      <c r="J24" s="11"/>
      <c r="K24" s="11">
        <v>37.53</v>
      </c>
      <c r="L24" s="12">
        <f>$B$12/(K24-K23)</f>
        <v>6.4935064935064675E-4</v>
      </c>
      <c r="M24" s="12">
        <f>-(4*PI()/3)*B29^3*($B$9-$B$8)*($B$6/E18)*(1-ABS(L24)/B28)</f>
        <v>2.8449951334282367E-18</v>
      </c>
    </row>
    <row r="25" spans="1:13" x14ac:dyDescent="0.25">
      <c r="A25">
        <v>4</v>
      </c>
      <c r="B25">
        <v>24.4</v>
      </c>
      <c r="C25" s="1">
        <f t="shared" si="0"/>
        <v>8.1037277147487865E-5</v>
      </c>
      <c r="D25">
        <f>(($B$10/(2*$B$7))^2+9*E16*C25/(2*$B$6*($B$9-$B$8)))^(1/2)-$B$10/(2*$B$7)</f>
        <v>8.4977417830383488E-7</v>
      </c>
      <c r="E25" s="1">
        <f>(D25+$B$10/(2*$B$7))^(-1)*9*E16/(2*$B$6*($B$9-$B$8))*1/2*C28</f>
        <v>3.0741889569136097E-9</v>
      </c>
      <c r="F25" s="1"/>
      <c r="G25" s="11">
        <v>34.130000000000003</v>
      </c>
      <c r="H25" s="12">
        <f>$B$12/(G25-G24)</f>
        <v>5.1020408163265105E-4</v>
      </c>
      <c r="I25" s="12">
        <f>(4*PI()/3)*B29^3*($B$9-$B$8)*($B$6/E18)*(1+ABS(H25)/B28)</f>
        <v>2.9727644212612509E-18</v>
      </c>
      <c r="J25" s="11"/>
      <c r="K25" s="11">
        <v>38.26</v>
      </c>
      <c r="L25" s="12">
        <f t="shared" ref="L25:L26" si="1">$B$12/(K25-K24)</f>
        <v>6.84931506849318E-4</v>
      </c>
      <c r="M25" s="12">
        <f>-(4*PI()/3)*B29^3*($B$9-$B$8)*($B$6/E18)*(1-ABS(L25)/B28)</f>
        <v>3.0235126868872303E-18</v>
      </c>
    </row>
    <row r="26" spans="1:13" x14ac:dyDescent="0.25">
      <c r="A26">
        <v>5</v>
      </c>
      <c r="B26">
        <v>30.38</v>
      </c>
      <c r="C26" s="1">
        <f t="shared" si="0"/>
        <v>8.361204013377926E-5</v>
      </c>
      <c r="D26">
        <f>(($B$10/(2*$B$7))^2+9*E16*C26/(2*$B$6*($B$9-$B$8)))^(1/2)-$B$10/(2*$B$7)</f>
        <v>8.6377740406786669E-7</v>
      </c>
      <c r="E26" s="1">
        <f>(D26+$B$10/(2*$B$7))^(-1)*9*E16/(2*$B$6*($B$9-$B$8))*1/2*C28</f>
        <v>3.0265815715792837E-9</v>
      </c>
      <c r="F26" s="1"/>
      <c r="G26" s="11">
        <v>35.22</v>
      </c>
      <c r="H26" s="12">
        <f>$B$12/(G26-G25)</f>
        <v>4.5871559633027677E-4</v>
      </c>
      <c r="I26" s="12">
        <f>(4*PI()/3)*B29^3*($B$9-$B$8)*($B$6/E18)*(1+ABS(H26)/B28)</f>
        <v>2.7144345474567066E-18</v>
      </c>
      <c r="J26" s="11"/>
      <c r="K26" s="11">
        <v>38.97</v>
      </c>
      <c r="L26" s="12">
        <f t="shared" si="1"/>
        <v>7.0422535211267523E-4</v>
      </c>
      <c r="M26" s="12">
        <f>-(4*PI()/3)*B29^3*($B$9-$B$8)*($B$6/E18)*(1-ABS(L26)/B28)</f>
        <v>3.1203144588332703E-18</v>
      </c>
    </row>
    <row r="27" spans="1:13" x14ac:dyDescent="0.25">
      <c r="B27" s="1" t="s">
        <v>28</v>
      </c>
      <c r="C27" s="1" t="s">
        <v>34</v>
      </c>
      <c r="D27" t="s">
        <v>30</v>
      </c>
      <c r="G27" s="12" t="s">
        <v>28</v>
      </c>
      <c r="H27" s="12" t="s">
        <v>29</v>
      </c>
      <c r="I27" s="11" t="s">
        <v>34</v>
      </c>
      <c r="J27" s="11"/>
      <c r="K27" s="12" t="s">
        <v>28</v>
      </c>
      <c r="L27" s="12" t="s">
        <v>29</v>
      </c>
      <c r="M27" s="11" t="s">
        <v>34</v>
      </c>
    </row>
    <row r="28" spans="1:13" x14ac:dyDescent="0.25">
      <c r="A28" t="s">
        <v>27</v>
      </c>
      <c r="B28" s="1">
        <f>AVERAGE(C22:C26)</f>
        <v>8.2306319728597772E-5</v>
      </c>
      <c r="C28" s="1">
        <f>_xlfn.STDEV.S(C22:C26)/SQRT(COUNT(C22:C26))</f>
        <v>5.6083797667423092E-7</v>
      </c>
      <c r="F28" t="str">
        <f>J28</f>
        <v>Velocità</v>
      </c>
      <c r="G28" s="12">
        <f>AVERAGE(H22:H26)</f>
        <v>5.1895182326047327E-4</v>
      </c>
      <c r="H28" s="12">
        <f>_xlfn.STDEV.S(H22:H26)</f>
        <v>3.866028846140072E-5</v>
      </c>
      <c r="I28" s="16">
        <f>H28/SQRT(5)</f>
        <v>1.7289406605888553E-5</v>
      </c>
      <c r="J28" s="11" t="s">
        <v>27</v>
      </c>
      <c r="K28" s="12">
        <f>AVERAGE(L22:L26)</f>
        <v>6.6761711347687407E-4</v>
      </c>
      <c r="L28" s="12">
        <f>_xlfn.STDEV.S(L22:L26)</f>
        <v>2.8191335059728736E-5</v>
      </c>
      <c r="M28" s="16">
        <f>L28/SQRT(5)</f>
        <v>1.2607548314005309E-5</v>
      </c>
    </row>
    <row r="29" spans="1:13" x14ac:dyDescent="0.25">
      <c r="A29" t="s">
        <v>5</v>
      </c>
      <c r="B29">
        <f>AVERAGE(D22:D26)</f>
        <v>8.5668258780972361E-7</v>
      </c>
      <c r="C29">
        <f>_xlfn.STDEV.S(D22:D26)/SQRT(COUNT(D22:D26))</f>
        <v>3.0531174757716755E-9</v>
      </c>
      <c r="D29" s="1">
        <f>(B29+$B$10/(2*$B$7))^(-1)*9*E16/(2*$B$6*($B$9-$B$8))*1/2*C28</f>
        <v>3.0505163933001042E-9</v>
      </c>
      <c r="F29" t="str">
        <f>J29</f>
        <v>Carica</v>
      </c>
      <c r="G29" s="11">
        <f>AVERAGE(I22:I26)</f>
        <v>3.0166539040751075E-18</v>
      </c>
      <c r="H29" s="11">
        <f>_xlfn.STDEV.S(I22:I26)</f>
        <v>1.9396778485189548E-19</v>
      </c>
      <c r="I29" s="16">
        <f>H29/SQRT(5)</f>
        <v>8.6745030474778456E-20</v>
      </c>
      <c r="J29" s="11" t="s">
        <v>33</v>
      </c>
      <c r="K29" s="11">
        <f>AVERAGE(M22:M26)</f>
        <v>2.9366422919117658E-18</v>
      </c>
      <c r="L29" s="11">
        <f>_xlfn.STDEV.S(M22:M26)</f>
        <v>1.4144257663811122E-19</v>
      </c>
      <c r="M29" s="16">
        <f>L29/SQRT(5)</f>
        <v>6.3255043255108066E-20</v>
      </c>
    </row>
    <row r="32" spans="1:13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3.0416966390728028E-9</v>
      </c>
      <c r="E33">
        <v>3.0766740363798603E-9</v>
      </c>
      <c r="F33">
        <v>3.0341485935093097E-9</v>
      </c>
      <c r="G33">
        <v>3.0741889569136097E-9</v>
      </c>
      <c r="H33">
        <v>3.0265815715792837E-9</v>
      </c>
    </row>
    <row r="34" spans="1:13" x14ac:dyDescent="0.25">
      <c r="C34" t="s">
        <v>21</v>
      </c>
      <c r="D34">
        <v>8.5928396857217271E-7</v>
      </c>
      <c r="E34">
        <v>8.4905511862190766E-7</v>
      </c>
      <c r="F34">
        <v>8.6152226948283612E-7</v>
      </c>
      <c r="G34">
        <v>8.4977417830383488E-7</v>
      </c>
      <c r="H34">
        <v>8.6377740406786669E-7</v>
      </c>
    </row>
    <row r="35" spans="1:13" x14ac:dyDescent="0.25">
      <c r="A35">
        <v>1</v>
      </c>
      <c r="B35" s="1">
        <f>E22</f>
        <v>3.0416966390728028E-9</v>
      </c>
      <c r="C35">
        <f>D22</f>
        <v>8.5928396857217271E-7</v>
      </c>
      <c r="D35">
        <f t="shared" ref="D35:H39" si="2">($C35-D$34)/SQRT($B35^2+D$33^2)</f>
        <v>0</v>
      </c>
      <c r="E35">
        <f t="shared" si="2"/>
        <v>2.3642800866135101</v>
      </c>
      <c r="F35">
        <f t="shared" si="2"/>
        <v>-0.5209864538553941</v>
      </c>
      <c r="G35">
        <f t="shared" si="2"/>
        <v>2.1989758252829463</v>
      </c>
      <c r="H35">
        <f t="shared" si="2"/>
        <v>-1.0471928751710404</v>
      </c>
    </row>
    <row r="36" spans="1:13" x14ac:dyDescent="0.25">
      <c r="A36">
        <v>2</v>
      </c>
      <c r="B36">
        <f>E23</f>
        <v>3.0766740363798603E-9</v>
      </c>
      <c r="C36">
        <f>D23</f>
        <v>8.4905511862190766E-7</v>
      </c>
      <c r="D36">
        <f t="shared" si="2"/>
        <v>-2.3642800866135101</v>
      </c>
      <c r="E36">
        <f t="shared" si="2"/>
        <v>0</v>
      </c>
      <c r="F36">
        <f t="shared" si="2"/>
        <v>-2.8851740577390506</v>
      </c>
      <c r="G36">
        <f t="shared" si="2"/>
        <v>-0.16532702361436113</v>
      </c>
      <c r="H36">
        <f t="shared" si="2"/>
        <v>-3.411253903649579</v>
      </c>
    </row>
    <row r="37" spans="1:13" x14ac:dyDescent="0.25">
      <c r="A37">
        <v>3</v>
      </c>
      <c r="B37">
        <f>E24</f>
        <v>3.0341485935093097E-9</v>
      </c>
      <c r="C37">
        <f>D24</f>
        <v>8.6152226948283612E-7</v>
      </c>
      <c r="D37">
        <f t="shared" si="2"/>
        <v>0.5209864538553941</v>
      </c>
      <c r="E37">
        <f t="shared" si="2"/>
        <v>2.8851740577390506</v>
      </c>
      <c r="F37">
        <f t="shared" si="2"/>
        <v>0</v>
      </c>
      <c r="G37">
        <f t="shared" si="2"/>
        <v>2.7198812779907424</v>
      </c>
      <c r="H37">
        <f t="shared" si="2"/>
        <v>-0.52621373044291042</v>
      </c>
    </row>
    <row r="38" spans="1:13" x14ac:dyDescent="0.25">
      <c r="A38">
        <v>4</v>
      </c>
      <c r="B38">
        <f>E25</f>
        <v>3.0741889569136097E-9</v>
      </c>
      <c r="C38">
        <f>D25</f>
        <v>8.4977417830383488E-7</v>
      </c>
      <c r="D38">
        <f t="shared" si="2"/>
        <v>-2.1989758252829463</v>
      </c>
      <c r="E38">
        <f t="shared" si="2"/>
        <v>0.16532702361436113</v>
      </c>
      <c r="F38">
        <f t="shared" si="2"/>
        <v>-2.7198812779907424</v>
      </c>
      <c r="G38">
        <f t="shared" si="2"/>
        <v>0</v>
      </c>
      <c r="H38">
        <f t="shared" si="2"/>
        <v>-3.2459750390776758</v>
      </c>
    </row>
    <row r="39" spans="1:13" x14ac:dyDescent="0.25">
      <c r="A39">
        <v>5</v>
      </c>
      <c r="B39">
        <f>E26</f>
        <v>3.0265815715792837E-9</v>
      </c>
      <c r="C39">
        <f>D26</f>
        <v>8.6377740406786669E-7</v>
      </c>
      <c r="D39">
        <f t="shared" si="2"/>
        <v>1.0471928751710404</v>
      </c>
      <c r="E39">
        <f t="shared" si="2"/>
        <v>3.411253903649579</v>
      </c>
      <c r="F39">
        <f t="shared" si="2"/>
        <v>0.52621373044291042</v>
      </c>
      <c r="G39">
        <f t="shared" si="2"/>
        <v>3.2459750390776758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1.9396778485189548E-19</v>
      </c>
      <c r="E42">
        <v>1.9396778485189548E-19</v>
      </c>
      <c r="F42">
        <v>1.9396778485189548E-19</v>
      </c>
      <c r="G42">
        <v>1.9396778485189548E-19</v>
      </c>
      <c r="H42">
        <v>1.9396778485189548E-19</v>
      </c>
      <c r="I42">
        <v>1.4144257663811122E-19</v>
      </c>
      <c r="J42">
        <v>1.4144257663811122E-19</v>
      </c>
      <c r="K42">
        <v>1.4144257663811122E-19</v>
      </c>
      <c r="L42">
        <v>1.4144257663811122E-19</v>
      </c>
      <c r="M42">
        <v>1.4144257663811122E-19</v>
      </c>
    </row>
    <row r="43" spans="1:13" x14ac:dyDescent="0.25">
      <c r="C43" t="s">
        <v>35</v>
      </c>
      <c r="D43">
        <v>3.0260938838459123E-18</v>
      </c>
      <c r="E43">
        <v>3.2003034616224439E-18</v>
      </c>
      <c r="F43">
        <v>3.1696732061892239E-18</v>
      </c>
      <c r="G43">
        <v>2.9727644212612509E-18</v>
      </c>
      <c r="H43">
        <v>2.7144345474567066E-18</v>
      </c>
      <c r="I43">
        <v>2.9318736761116132E-18</v>
      </c>
      <c r="J43">
        <v>2.7625155042984779E-18</v>
      </c>
      <c r="K43">
        <v>2.8449951334282367E-18</v>
      </c>
      <c r="L43">
        <v>3.0235126868872303E-18</v>
      </c>
      <c r="M43">
        <v>3.1203144588332703E-18</v>
      </c>
    </row>
    <row r="44" spans="1:13" x14ac:dyDescent="0.25">
      <c r="A44">
        <v>1</v>
      </c>
      <c r="B44">
        <f>$H$29</f>
        <v>1.9396778485189548E-19</v>
      </c>
      <c r="C44" s="1">
        <f>I22</f>
        <v>3.0260938838459123E-18</v>
      </c>
      <c r="D44">
        <f>($C44-D$43)/SQRT($B44^2+D$42^2)</f>
        <v>0</v>
      </c>
      <c r="E44">
        <f t="shared" ref="E44:M44" si="3">($C44-E$43)/SQRT($B44^2+E$42^2)</f>
        <v>-0.63507852031969536</v>
      </c>
      <c r="F44">
        <f t="shared" si="3"/>
        <v>-0.52341636290090698</v>
      </c>
      <c r="G44">
        <f t="shared" si="3"/>
        <v>0.19441179193463287</v>
      </c>
      <c r="H44">
        <f t="shared" si="3"/>
        <v>1.1361496464434833</v>
      </c>
      <c r="I44">
        <f t="shared" si="3"/>
        <v>0.39248369216922246</v>
      </c>
      <c r="J44">
        <f t="shared" si="3"/>
        <v>1.0979620833832933</v>
      </c>
      <c r="K44">
        <f t="shared" si="3"/>
        <v>0.75438494480507434</v>
      </c>
      <c r="L44">
        <f t="shared" si="3"/>
        <v>1.0752233909485135E-2</v>
      </c>
      <c r="M44">
        <f t="shared" si="3"/>
        <v>-0.39248522199854441</v>
      </c>
    </row>
    <row r="45" spans="1:13" x14ac:dyDescent="0.25">
      <c r="A45">
        <v>2</v>
      </c>
      <c r="B45">
        <f t="shared" ref="B45:B48" si="4">$H$29</f>
        <v>1.9396778485189548E-19</v>
      </c>
      <c r="C45" s="1">
        <f t="shared" ref="C45:C48" si="5">I23</f>
        <v>3.2003034616224439E-18</v>
      </c>
      <c r="D45">
        <f t="shared" ref="D45:M53" si="6">($C45-D$43)/SQRT($B45^2+D$42^2)</f>
        <v>0.63507852031969536</v>
      </c>
      <c r="E45">
        <f t="shared" si="6"/>
        <v>0</v>
      </c>
      <c r="F45">
        <f t="shared" si="6"/>
        <v>0.11166215741878831</v>
      </c>
      <c r="G45">
        <f t="shared" si="6"/>
        <v>0.82949031225432823</v>
      </c>
      <c r="H45">
        <f t="shared" si="6"/>
        <v>1.7712281667631786</v>
      </c>
      <c r="I45">
        <f t="shared" si="6"/>
        <v>1.1181710997982766</v>
      </c>
      <c r="J45">
        <f t="shared" si="6"/>
        <v>1.8236494910123475</v>
      </c>
      <c r="K45">
        <f t="shared" si="6"/>
        <v>1.4800723524341284</v>
      </c>
      <c r="L45">
        <f t="shared" si="6"/>
        <v>0.73643964153853936</v>
      </c>
      <c r="M45">
        <f t="shared" si="6"/>
        <v>0.33320218563050974</v>
      </c>
    </row>
    <row r="46" spans="1:13" x14ac:dyDescent="0.25">
      <c r="A46">
        <v>3</v>
      </c>
      <c r="B46">
        <f t="shared" si="4"/>
        <v>1.9396778485189548E-19</v>
      </c>
      <c r="C46" s="1">
        <f t="shared" si="5"/>
        <v>3.1696732061892239E-18</v>
      </c>
      <c r="D46">
        <f t="shared" si="6"/>
        <v>0.52341636290090698</v>
      </c>
      <c r="E46">
        <f t="shared" si="6"/>
        <v>-0.11166215741878831</v>
      </c>
      <c r="F46">
        <f t="shared" si="6"/>
        <v>0</v>
      </c>
      <c r="G46">
        <f t="shared" si="6"/>
        <v>0.71782815483553986</v>
      </c>
      <c r="H46">
        <f t="shared" si="6"/>
        <v>1.6595660093443902</v>
      </c>
      <c r="I46">
        <f t="shared" si="6"/>
        <v>0.99057770944598311</v>
      </c>
      <c r="J46">
        <f t="shared" si="6"/>
        <v>1.6960561006600541</v>
      </c>
      <c r="K46">
        <f t="shared" si="6"/>
        <v>1.3524789620818349</v>
      </c>
      <c r="L46">
        <f t="shared" si="6"/>
        <v>0.6088462511862458</v>
      </c>
      <c r="M46">
        <f t="shared" si="6"/>
        <v>0.20560879527821624</v>
      </c>
    </row>
    <row r="47" spans="1:13" x14ac:dyDescent="0.25">
      <c r="A47">
        <v>4</v>
      </c>
      <c r="B47">
        <f t="shared" si="4"/>
        <v>1.9396778485189548E-19</v>
      </c>
      <c r="C47" s="1">
        <f t="shared" si="5"/>
        <v>2.9727644212612509E-18</v>
      </c>
      <c r="D47">
        <f t="shared" si="6"/>
        <v>-0.19441179193463287</v>
      </c>
      <c r="E47">
        <f t="shared" si="6"/>
        <v>-0.82949031225432823</v>
      </c>
      <c r="F47">
        <f t="shared" si="6"/>
        <v>-0.71782815483553986</v>
      </c>
      <c r="G47">
        <f t="shared" si="6"/>
        <v>0</v>
      </c>
      <c r="H47">
        <f t="shared" si="6"/>
        <v>0.9417378545088505</v>
      </c>
      <c r="I47">
        <f t="shared" si="6"/>
        <v>0.17033448575212817</v>
      </c>
      <c r="J47">
        <f t="shared" si="6"/>
        <v>0.87581287696619903</v>
      </c>
      <c r="K47">
        <f t="shared" si="6"/>
        <v>0.53223573838798</v>
      </c>
      <c r="L47">
        <f t="shared" si="6"/>
        <v>-0.21139697250760914</v>
      </c>
      <c r="M47">
        <f t="shared" si="6"/>
        <v>-0.61463442841563876</v>
      </c>
    </row>
    <row r="48" spans="1:13" x14ac:dyDescent="0.25">
      <c r="A48">
        <v>5</v>
      </c>
      <c r="B48">
        <f t="shared" si="4"/>
        <v>1.9396778485189548E-19</v>
      </c>
      <c r="C48" s="1">
        <f t="shared" si="5"/>
        <v>2.7144345474567066E-18</v>
      </c>
      <c r="D48">
        <f t="shared" si="6"/>
        <v>-1.1361496464434833</v>
      </c>
      <c r="E48">
        <f t="shared" si="6"/>
        <v>-1.7712281667631786</v>
      </c>
      <c r="F48">
        <f t="shared" si="6"/>
        <v>-1.6595660093443902</v>
      </c>
      <c r="G48">
        <f t="shared" si="6"/>
        <v>-0.9417378545088505</v>
      </c>
      <c r="H48">
        <f t="shared" si="6"/>
        <v>0</v>
      </c>
      <c r="I48">
        <f t="shared" si="6"/>
        <v>-0.90576442239650723</v>
      </c>
      <c r="J48">
        <f t="shared" si="6"/>
        <v>-0.20028603118243635</v>
      </c>
      <c r="K48">
        <f t="shared" si="6"/>
        <v>-0.54386316976065541</v>
      </c>
      <c r="L48">
        <f t="shared" si="6"/>
        <v>-1.2874958806562447</v>
      </c>
      <c r="M48">
        <f t="shared" si="6"/>
        <v>-1.690733336564274</v>
      </c>
    </row>
    <row r="49" spans="1:13" x14ac:dyDescent="0.25">
      <c r="A49">
        <v>6</v>
      </c>
      <c r="B49">
        <f>$L$29</f>
        <v>1.4144257663811122E-19</v>
      </c>
      <c r="C49" s="1">
        <f>M22</f>
        <v>2.9318736761116132E-18</v>
      </c>
      <c r="D49">
        <f t="shared" si="6"/>
        <v>-0.39248369216922246</v>
      </c>
      <c r="E49">
        <f t="shared" si="6"/>
        <v>-1.1181710997982766</v>
      </c>
      <c r="F49">
        <f t="shared" si="6"/>
        <v>-0.99057770944598311</v>
      </c>
      <c r="G49">
        <f t="shared" si="6"/>
        <v>-0.17033448575212817</v>
      </c>
      <c r="H49">
        <f t="shared" si="6"/>
        <v>0.90576442239650723</v>
      </c>
      <c r="I49">
        <f t="shared" si="6"/>
        <v>0</v>
      </c>
      <c r="J49">
        <f t="shared" si="6"/>
        <v>0.8466638164039002</v>
      </c>
      <c r="K49">
        <f t="shared" si="6"/>
        <v>0.43432754218129621</v>
      </c>
      <c r="L49">
        <f t="shared" si="6"/>
        <v>-0.45812631161589157</v>
      </c>
      <c r="M49">
        <f t="shared" si="6"/>
        <v>-0.94206255628039337</v>
      </c>
    </row>
    <row r="50" spans="1:13" x14ac:dyDescent="0.25">
      <c r="A50">
        <v>7</v>
      </c>
      <c r="B50">
        <f t="shared" ref="B50:B53" si="7">$L$29</f>
        <v>1.4144257663811122E-19</v>
      </c>
      <c r="C50" s="1">
        <f t="shared" ref="C50:C53" si="8">M23</f>
        <v>2.7625155042984779E-18</v>
      </c>
      <c r="D50">
        <f t="shared" si="6"/>
        <v>-1.0979620833832933</v>
      </c>
      <c r="E50">
        <f t="shared" si="6"/>
        <v>-1.8236494910123475</v>
      </c>
      <c r="F50">
        <f t="shared" si="6"/>
        <v>-1.6960561006600541</v>
      </c>
      <c r="G50">
        <f t="shared" si="6"/>
        <v>-0.87581287696619903</v>
      </c>
      <c r="H50">
        <f t="shared" si="6"/>
        <v>0.20028603118243635</v>
      </c>
      <c r="I50">
        <f t="shared" si="6"/>
        <v>-0.8466638164039002</v>
      </c>
      <c r="J50">
        <f t="shared" si="6"/>
        <v>0</v>
      </c>
      <c r="K50">
        <f t="shared" si="6"/>
        <v>-0.41233627422260399</v>
      </c>
      <c r="L50">
        <f t="shared" si="6"/>
        <v>-1.3047901280197918</v>
      </c>
      <c r="M50">
        <f t="shared" si="6"/>
        <v>-1.7887263726842935</v>
      </c>
    </row>
    <row r="51" spans="1:13" x14ac:dyDescent="0.25">
      <c r="A51">
        <v>8</v>
      </c>
      <c r="B51">
        <f t="shared" si="7"/>
        <v>1.4144257663811122E-19</v>
      </c>
      <c r="C51" s="1">
        <f t="shared" si="8"/>
        <v>2.8449951334282367E-18</v>
      </c>
      <c r="D51">
        <f t="shared" si="6"/>
        <v>-0.75438494480507434</v>
      </c>
      <c r="E51">
        <f t="shared" si="6"/>
        <v>-1.4800723524341284</v>
      </c>
      <c r="F51">
        <f t="shared" si="6"/>
        <v>-1.3524789620818349</v>
      </c>
      <c r="G51">
        <f t="shared" si="6"/>
        <v>-0.53223573838798</v>
      </c>
      <c r="H51">
        <f t="shared" si="6"/>
        <v>0.54386316976065541</v>
      </c>
      <c r="I51">
        <f t="shared" si="6"/>
        <v>-0.43432754218129621</v>
      </c>
      <c r="J51">
        <f t="shared" si="6"/>
        <v>0.41233627422260399</v>
      </c>
      <c r="K51">
        <f t="shared" si="6"/>
        <v>0</v>
      </c>
      <c r="L51">
        <f t="shared" si="6"/>
        <v>-0.89245385379718778</v>
      </c>
      <c r="M51">
        <f t="shared" si="6"/>
        <v>-1.3763900984616895</v>
      </c>
    </row>
    <row r="52" spans="1:13" x14ac:dyDescent="0.25">
      <c r="A52">
        <v>9</v>
      </c>
      <c r="B52">
        <f t="shared" si="7"/>
        <v>1.4144257663811122E-19</v>
      </c>
      <c r="C52" s="1">
        <f t="shared" si="8"/>
        <v>3.0235126868872303E-18</v>
      </c>
      <c r="D52">
        <f t="shared" si="6"/>
        <v>-1.0752233909485135E-2</v>
      </c>
      <c r="E52">
        <f t="shared" si="6"/>
        <v>-0.73643964153853936</v>
      </c>
      <c r="F52">
        <f t="shared" si="6"/>
        <v>-0.6088462511862458</v>
      </c>
      <c r="G52">
        <f t="shared" si="6"/>
        <v>0.21139697250760914</v>
      </c>
      <c r="H52">
        <f t="shared" si="6"/>
        <v>1.2874958806562447</v>
      </c>
      <c r="I52">
        <f t="shared" si="6"/>
        <v>0.45812631161589157</v>
      </c>
      <c r="J52">
        <f t="shared" si="6"/>
        <v>1.3047901280197918</v>
      </c>
      <c r="K52">
        <f t="shared" si="6"/>
        <v>0.89245385379718778</v>
      </c>
      <c r="L52">
        <f t="shared" si="6"/>
        <v>0</v>
      </c>
      <c r="M52">
        <f t="shared" si="6"/>
        <v>-0.4839362446645018</v>
      </c>
    </row>
    <row r="53" spans="1:13" x14ac:dyDescent="0.25">
      <c r="A53">
        <v>10</v>
      </c>
      <c r="B53">
        <f t="shared" si="7"/>
        <v>1.4144257663811122E-19</v>
      </c>
      <c r="C53" s="1">
        <f t="shared" si="8"/>
        <v>3.1203144588332703E-18</v>
      </c>
      <c r="D53">
        <f t="shared" si="6"/>
        <v>0.39248522199854441</v>
      </c>
      <c r="E53">
        <f t="shared" si="6"/>
        <v>-0.33320218563050974</v>
      </c>
      <c r="F53">
        <f t="shared" si="6"/>
        <v>-0.20560879527821624</v>
      </c>
      <c r="G53">
        <f t="shared" si="6"/>
        <v>0.61463442841563876</v>
      </c>
      <c r="H53">
        <f t="shared" si="6"/>
        <v>1.690733336564274</v>
      </c>
      <c r="I53">
        <f t="shared" si="6"/>
        <v>0.94206255628039337</v>
      </c>
      <c r="J53">
        <f t="shared" si="6"/>
        <v>1.7887263726842935</v>
      </c>
      <c r="K53">
        <f t="shared" si="6"/>
        <v>1.3763900984616895</v>
      </c>
      <c r="L53">
        <f t="shared" si="6"/>
        <v>0.4839362446645018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46" priority="2" operator="greaterThan">
      <formula>1.96</formula>
    </cfRule>
  </conditionalFormatting>
  <conditionalFormatting sqref="D35:H39">
    <cfRule type="cellIs" dxfId="45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0" zoomScaleNormal="100" workbookViewId="0">
      <selection activeCell="G18" sqref="G18:Q26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((G29+L29)/2)/B11</f>
        <v>5.8275821478160248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7" x14ac:dyDescent="0.25">
      <c r="A17" t="s">
        <v>23</v>
      </c>
      <c r="B17">
        <v>2.2400000000000002</v>
      </c>
      <c r="D17" t="s">
        <v>1</v>
      </c>
      <c r="E17" s="2">
        <f>E16/(1+$B$10/($B$7*B29))</f>
        <v>1.5728331137737509E-5</v>
      </c>
    </row>
    <row r="18" spans="1:17" x14ac:dyDescent="0.25">
      <c r="A18" t="s">
        <v>24</v>
      </c>
      <c r="B18">
        <v>20.5</v>
      </c>
      <c r="D18" t="s">
        <v>32</v>
      </c>
      <c r="E18" s="1">
        <f>B16/B5</f>
        <v>53701.211305518162</v>
      </c>
      <c r="G18" s="10"/>
      <c r="H18" s="10" t="s">
        <v>20</v>
      </c>
      <c r="I18" s="10" t="s">
        <v>45</v>
      </c>
      <c r="J18" s="10" t="s">
        <v>43</v>
      </c>
      <c r="K18" s="10" t="s">
        <v>42</v>
      </c>
      <c r="L18" s="10"/>
      <c r="M18" s="10"/>
      <c r="N18" s="10" t="s">
        <v>20</v>
      </c>
      <c r="O18" s="10" t="s">
        <v>45</v>
      </c>
      <c r="P18" s="10" t="s">
        <v>43</v>
      </c>
      <c r="Q18" s="10" t="s">
        <v>42</v>
      </c>
    </row>
    <row r="19" spans="1:17" x14ac:dyDescent="0.25">
      <c r="G19" s="10" t="s">
        <v>44</v>
      </c>
      <c r="H19" s="17">
        <f>AVERAGE(I22:I26)</f>
        <v>3.1134393822702933E-4</v>
      </c>
      <c r="I19" s="10">
        <f>_xlfn.STDEV.S(I22:I26)</f>
        <v>1.7403243193521628E-5</v>
      </c>
      <c r="J19" s="17">
        <f>H19-2*I19</f>
        <v>2.7653745183998609E-4</v>
      </c>
      <c r="K19" s="17">
        <f>H19+2*I19</f>
        <v>3.4615042461407257E-4</v>
      </c>
      <c r="L19" s="10"/>
      <c r="M19" s="10" t="s">
        <v>44</v>
      </c>
      <c r="N19" s="17">
        <f>AVERAGE(O22:O26)</f>
        <v>3.7350550131889432E-4</v>
      </c>
      <c r="O19" s="10">
        <f>_xlfn.STDEV.S(O22:O26)</f>
        <v>1.3114783762596512E-5</v>
      </c>
      <c r="P19" s="17">
        <f>N19-2*O19</f>
        <v>3.472759337937013E-4</v>
      </c>
      <c r="Q19" s="17">
        <f>N19+2*O19</f>
        <v>3.9973506884408735E-4</v>
      </c>
    </row>
    <row r="20" spans="1:17" x14ac:dyDescent="0.25">
      <c r="A20" t="s">
        <v>7</v>
      </c>
      <c r="B20">
        <v>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s="10" t="s">
        <v>18</v>
      </c>
      <c r="H21" s="10"/>
      <c r="I21" s="10" t="s">
        <v>20</v>
      </c>
      <c r="J21" s="10" t="s">
        <v>22</v>
      </c>
      <c r="K21" s="10"/>
      <c r="L21" s="10"/>
      <c r="M21" s="10" t="s">
        <v>38</v>
      </c>
      <c r="N21" s="10"/>
      <c r="O21" s="10" t="s">
        <v>20</v>
      </c>
      <c r="P21" s="10" t="s">
        <v>22</v>
      </c>
      <c r="Q21" s="10"/>
    </row>
    <row r="22" spans="1:17" x14ac:dyDescent="0.25">
      <c r="A22">
        <v>1</v>
      </c>
      <c r="B22">
        <v>16.77</v>
      </c>
      <c r="C22" s="1">
        <f>B12/B22</f>
        <v>2.9815146094215862E-5</v>
      </c>
      <c r="D22">
        <f>(($B$10/(2*$B$7))^2+9*E16*C22/(2*$B$6*($B$9-$B$8)))^(1/2)-$B$10/(2*$B$7)</f>
        <v>5.0047920337477117E-7</v>
      </c>
      <c r="E22" s="1">
        <f>(D22+$B$10/(2*$B$7))^(-1)*9*E16/(2*$B$6*($B$9-$B$8))*1/2*C28</f>
        <v>6.5819597271076585E-9</v>
      </c>
      <c r="F22" s="1"/>
      <c r="G22" s="10">
        <v>83.65</v>
      </c>
      <c r="H22" s="26">
        <f>G22-B26</f>
        <v>1.6000000000000085</v>
      </c>
      <c r="I22" s="17">
        <f>$B$12/(G22-B26)</f>
        <v>3.1249999999999833E-4</v>
      </c>
      <c r="J22" s="17">
        <f>(4*PI()/3)*B29^3*($B$9-$B$8)*($B$6/E18)*(1+ABS(I22)/B28)</f>
        <v>9.3535670410654425E-19</v>
      </c>
      <c r="K22" s="17"/>
      <c r="L22" s="10"/>
      <c r="M22" s="10">
        <v>91.45</v>
      </c>
      <c r="N22" s="26">
        <f>M22-G26</f>
        <v>1.3500000000000085</v>
      </c>
      <c r="O22" s="17">
        <f>B12/(M22-G26)</f>
        <v>3.7037037037036802E-4</v>
      </c>
      <c r="P22" s="17">
        <f>-(4*PI()/3)*B29^3*($B$9-$B$8)*($B$6/$E$18)*(1-ABS(O22)/B28)</f>
        <v>9.2661018728331562E-19</v>
      </c>
      <c r="Q22" s="10"/>
    </row>
    <row r="23" spans="1:17" x14ac:dyDescent="0.25">
      <c r="A23">
        <v>2</v>
      </c>
      <c r="B23">
        <v>33.35</v>
      </c>
      <c r="C23" s="1">
        <f>$B$12/(B23-B22)</f>
        <v>3.0156815440289501E-5</v>
      </c>
      <c r="D23">
        <f>(($B$10/(2*$B$7))^2+9*E16*C23/(2*$B$6*($B$9-$B$8)))^(1/2)-$B$10/(2*$B$7)</f>
        <v>5.0355262229260776E-7</v>
      </c>
      <c r="E23" s="1">
        <f>(D23+$B$10/(2*$B$7))^(-1)*9*E16/(2*$B$6*($B$9-$B$8))*1/2*C28</f>
        <v>6.5447749718186392E-9</v>
      </c>
      <c r="F23" s="1"/>
      <c r="G23" s="10">
        <v>85.32</v>
      </c>
      <c r="H23" s="26">
        <f>G23-G22</f>
        <v>1.6699999999999875</v>
      </c>
      <c r="I23" s="17">
        <f>$B$12/(G23-G22)</f>
        <v>2.9940119760479269E-4</v>
      </c>
      <c r="J23" s="17">
        <f>(4*PI()/3)*B29^3*($B$9-$B$8)*($B$6/E18)*(1+ABS(I23)/B28)</f>
        <v>8.9964050168366999E-19</v>
      </c>
      <c r="K23" s="17"/>
      <c r="L23" s="10"/>
      <c r="M23" s="10">
        <v>92.77</v>
      </c>
      <c r="N23" s="26">
        <f>M23-M22</f>
        <v>1.3199999999999932</v>
      </c>
      <c r="O23" s="17">
        <f>$B$12/(M23-M22)</f>
        <v>3.7878787878788074E-4</v>
      </c>
      <c r="P23" s="17">
        <f>-(4*PI()/3)*B29^3*($B$9-$B$8)*($B$6/$E$18)*(1-ABS(O23)/B28)</f>
        <v>9.4956201337133833E-19</v>
      </c>
      <c r="Q23" s="10"/>
    </row>
    <row r="24" spans="1:17" x14ac:dyDescent="0.25">
      <c r="A24">
        <v>3</v>
      </c>
      <c r="B24">
        <v>50.94</v>
      </c>
      <c r="C24" s="1">
        <f t="shared" ref="C24:C26" si="0">$B$12/(B24-B23)</f>
        <v>2.8425241614553729E-5</v>
      </c>
      <c r="D24">
        <f>(($B$10/(2*$B$7))^2+9*E16*C24/(2*$B$6*($B$9-$B$8)))^(1/2)-$B$10/(2*$B$7)</f>
        <v>4.8779230068800096E-7</v>
      </c>
      <c r="E24" s="1">
        <f>(D24+$B$10/(2*$B$7))^(-1)*9*E16/(2*$B$6*($B$9-$B$8))*1/2*C28</f>
        <v>6.7400358457012864E-9</v>
      </c>
      <c r="F24" s="1"/>
      <c r="G24" s="10">
        <v>86.86</v>
      </c>
      <c r="H24" s="26">
        <f t="shared" ref="H24:H26" si="1">G24-G23</f>
        <v>1.5400000000000063</v>
      </c>
      <c r="I24" s="17">
        <f>$B$12/(G24-G23)</f>
        <v>3.2467532467532337E-4</v>
      </c>
      <c r="J24" s="17">
        <f>(4*PI()/3)*B29^3*($B$9-$B$8)*($B$6/E18)*(1+ABS(I24)/B28)</f>
        <v>9.6855488112670369E-19</v>
      </c>
      <c r="K24" s="17"/>
      <c r="L24" s="10"/>
      <c r="M24" s="10">
        <v>94.05</v>
      </c>
      <c r="N24" s="26">
        <f t="shared" ref="N24:N26" si="2">M24-M23</f>
        <v>1.2800000000000011</v>
      </c>
      <c r="O24" s="17">
        <f>$B$12/(M24-M23)</f>
        <v>3.9062499999999964E-4</v>
      </c>
      <c r="P24" s="17">
        <f>-(4*PI()/3)*B29^3*($B$9-$B$8)*($B$6/E18)*(1-ABS(O24)/B28)</f>
        <v>9.8183801880759702E-19</v>
      </c>
      <c r="Q24" s="10"/>
    </row>
    <row r="25" spans="1:17" x14ac:dyDescent="0.25">
      <c r="A25" s="11">
        <v>4</v>
      </c>
      <c r="B25" s="11">
        <v>66.3</v>
      </c>
      <c r="C25" s="12">
        <f t="shared" si="0"/>
        <v>3.2552083333333333E-5</v>
      </c>
      <c r="D25" s="11"/>
      <c r="E25" s="1">
        <f>(D25+$B$10/(2*$B$7))^(-1)*9*E16/(2*$B$6*($B$9-$B$8))*1/2*C28</f>
        <v>8.7991258162453104E-8</v>
      </c>
      <c r="F25" s="1"/>
      <c r="G25" s="10">
        <v>88.37</v>
      </c>
      <c r="H25" s="26">
        <f t="shared" si="1"/>
        <v>1.5100000000000051</v>
      </c>
      <c r="I25" s="17">
        <f>$B$12/(G25-G24)</f>
        <v>3.311258278145684E-4</v>
      </c>
      <c r="J25" s="17">
        <f>(4*PI()/3)*B29^3*($B$9-$B$8)*($B$6/E18)*(1+ABS(I25)/B28)</f>
        <v>9.8614331928307946E-19</v>
      </c>
      <c r="K25" s="17"/>
      <c r="L25" s="10"/>
      <c r="M25" s="10">
        <v>95.46</v>
      </c>
      <c r="N25" s="26">
        <f t="shared" si="2"/>
        <v>1.4099999999999966</v>
      </c>
      <c r="O25" s="17">
        <f>$B$12/(M25-M24)</f>
        <v>3.5460992907801508E-4</v>
      </c>
      <c r="P25" s="17">
        <f>-(4*PI()/3)*B29^3*($B$9-$B$8)*($B$6/E18)*(1-ABS(O25)/B28)</f>
        <v>8.8363655545896404E-19</v>
      </c>
      <c r="Q25" s="10"/>
    </row>
    <row r="26" spans="1:17" x14ac:dyDescent="0.25">
      <c r="A26">
        <v>5</v>
      </c>
      <c r="B26">
        <v>82.05</v>
      </c>
      <c r="C26" s="1">
        <f t="shared" si="0"/>
        <v>3.1746031746031745E-5</v>
      </c>
      <c r="D26">
        <f>(($B$10/(2*$B$7))^2+9*E16*C26/(2*$B$6*($B$9-$B$8)))^(1/2)-$B$10/(2*$B$7)</f>
        <v>5.1762569462545162E-7</v>
      </c>
      <c r="E26" s="1">
        <f>(D26+$B$10/(2*$B$7))^(-1)*9*E16/(2*$B$6*($B$9-$B$8))*1/2*C28</f>
        <v>6.3797385689365061E-9</v>
      </c>
      <c r="F26" s="1"/>
      <c r="G26" s="10">
        <v>90.1</v>
      </c>
      <c r="H26" s="26">
        <f t="shared" si="1"/>
        <v>1.7299999999999898</v>
      </c>
      <c r="I26" s="17">
        <f>$B$12/(G26-G25)</f>
        <v>2.8901734104046413E-4</v>
      </c>
      <c r="J26" s="17">
        <f>(4*PI()/3)*B29^3*($B$9-$B$8)*($B$6/E18)*(1+ABS(I26)/B28)</f>
        <v>8.7132707944917663E-19</v>
      </c>
      <c r="K26" s="17"/>
      <c r="L26" s="10"/>
      <c r="M26" s="10">
        <v>96.8</v>
      </c>
      <c r="N26" s="26">
        <f t="shared" si="2"/>
        <v>1.3400000000000034</v>
      </c>
      <c r="O26" s="17">
        <f>$B$12/(M26-M25)</f>
        <v>3.7313432835820804E-4</v>
      </c>
      <c r="P26" s="17">
        <f>-(4*PI()/3)*B29^3*($B$9-$B$8)*($B$6/E18)*(1-ABS(O26)/B28)</f>
        <v>9.3414660778983057E-19</v>
      </c>
      <c r="Q26" s="10"/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L27" s="1" t="s">
        <v>28</v>
      </c>
      <c r="M27" s="1" t="s">
        <v>29</v>
      </c>
      <c r="N27" t="s">
        <v>34</v>
      </c>
    </row>
    <row r="28" spans="1:17" x14ac:dyDescent="0.25">
      <c r="A28" t="s">
        <v>27</v>
      </c>
      <c r="B28" s="1">
        <f>AVERAGE(C22:C26)</f>
        <v>3.0539063645684833E-5</v>
      </c>
      <c r="C28" s="1">
        <f>_xlfn.STDEV.S(C22:C26)/SQRT(COUNT(C22:C26))</f>
        <v>7.2963806607329301E-7</v>
      </c>
      <c r="F28" t="str">
        <f>J28</f>
        <v>Velocità</v>
      </c>
      <c r="G28" s="1">
        <f>AVERAGE(I22:I26)</f>
        <v>3.1134393822702933E-4</v>
      </c>
      <c r="H28" s="1">
        <f>_xlfn.STDEV.S(I22:I26)</f>
        <v>1.7403243193521628E-5</v>
      </c>
      <c r="I28" s="2">
        <f>H28/SQRT(5)</f>
        <v>7.7829669619349776E-6</v>
      </c>
      <c r="J28" t="s">
        <v>27</v>
      </c>
      <c r="L28" s="1">
        <f>AVERAGE(O22:O26)</f>
        <v>3.7350550131889432E-4</v>
      </c>
      <c r="M28" s="1">
        <f>_xlfn.STDEV.S(O22:O26)</f>
        <v>1.3114783762596512E-5</v>
      </c>
      <c r="N28" s="2">
        <f>M28/SQRT(5)</f>
        <v>5.865109600675253E-6</v>
      </c>
    </row>
    <row r="29" spans="1:17" x14ac:dyDescent="0.25">
      <c r="A29" t="s">
        <v>5</v>
      </c>
      <c r="B29">
        <f>AVERAGE(D22:D26)</f>
        <v>5.023624552452079E-7</v>
      </c>
      <c r="C29">
        <f>_xlfn.STDEV.S(D22:D26)/SQRT(COUNT(D22:D26))</f>
        <v>6.1252143867768751E-9</v>
      </c>
      <c r="D29" s="1">
        <f>(B29+$B$10/(2*$B$7))^(-1)*9*E16/(2*$B$6*($B$9-$B$8))*1/2*C28</f>
        <v>6.5591246364763177E-9</v>
      </c>
      <c r="F29" t="str">
        <f>J29</f>
        <v>Carica</v>
      </c>
      <c r="G29">
        <f>AVERAGE(J22:J26)</f>
        <v>9.3220449712983481E-19</v>
      </c>
      <c r="H29">
        <f>_xlfn.STDEV.S(J22:J26)</f>
        <v>4.7453021884033763E-20</v>
      </c>
      <c r="I29" s="2">
        <f>H29/SQRT(5)</f>
        <v>2.1221636534096928E-20</v>
      </c>
      <c r="J29" t="s">
        <v>33</v>
      </c>
      <c r="L29">
        <f>AVERAGE(P22:P26)</f>
        <v>9.3515867654220923E-19</v>
      </c>
      <c r="M29">
        <f>_xlfn.STDEV.S(P22:P26)</f>
        <v>3.5759778448796711E-20</v>
      </c>
      <c r="N29" s="2">
        <f>M29/SQRT(5)</f>
        <v>1.5992259094368284E-20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  <c r="L32" t="s">
        <v>40</v>
      </c>
      <c r="M32" t="s">
        <v>41</v>
      </c>
      <c r="N32" t="s">
        <v>42</v>
      </c>
      <c r="O32" t="s">
        <v>43</v>
      </c>
    </row>
    <row r="33" spans="1:15" x14ac:dyDescent="0.25">
      <c r="B33" t="s">
        <v>26</v>
      </c>
      <c r="D33">
        <f t="array" ref="D33:H34">TRANSPOSE(B35:C39)</f>
        <v>6.5819597271076585E-9</v>
      </c>
      <c r="E33">
        <v>6.5447749718186392E-9</v>
      </c>
      <c r="F33">
        <v>6.7400358457012864E-9</v>
      </c>
      <c r="G33">
        <v>8.7991258162453104E-8</v>
      </c>
      <c r="H33">
        <v>6.3797385689365061E-9</v>
      </c>
      <c r="K33" t="s">
        <v>39</v>
      </c>
      <c r="L33">
        <f>AVERAGE(H22:H26,N22:N26)</f>
        <v>1.4750000000000001</v>
      </c>
      <c r="M33">
        <f>_xlfn.STDEV.P(H22:H26,N22:N26)</f>
        <v>0.14974979131871677</v>
      </c>
      <c r="N33">
        <f>L33+1.96*M33</f>
        <v>1.7685095909846851</v>
      </c>
      <c r="O33">
        <f>L33-1.96*M33</f>
        <v>1.1814904090153151</v>
      </c>
    </row>
    <row r="34" spans="1:15" x14ac:dyDescent="0.25">
      <c r="C34" t="s">
        <v>21</v>
      </c>
      <c r="D34">
        <v>5.0047920337477117E-7</v>
      </c>
      <c r="E34">
        <v>5.0355262229260776E-7</v>
      </c>
      <c r="F34">
        <v>4.8779230068800096E-7</v>
      </c>
      <c r="G34">
        <v>0</v>
      </c>
      <c r="H34">
        <v>5.1762569462545162E-7</v>
      </c>
    </row>
    <row r="35" spans="1:15" x14ac:dyDescent="0.25">
      <c r="A35">
        <v>1</v>
      </c>
      <c r="B35" s="1">
        <f>E22</f>
        <v>6.5819597271076585E-9</v>
      </c>
      <c r="C35">
        <f>D22</f>
        <v>5.0047920337477117E-7</v>
      </c>
      <c r="D35">
        <f t="shared" ref="D35:H39" si="3">($C35-D$34)/SQRT($B35^2+D$33^2)</f>
        <v>0</v>
      </c>
      <c r="E35">
        <f t="shared" si="3"/>
        <v>-0.33111458235335489</v>
      </c>
      <c r="F35">
        <f t="shared" si="3"/>
        <v>1.3466996583703192</v>
      </c>
      <c r="G35">
        <f t="shared" si="3"/>
        <v>5.6719823201000796</v>
      </c>
      <c r="H35">
        <f t="shared" si="3"/>
        <v>-1.870576626603514</v>
      </c>
    </row>
    <row r="36" spans="1:15" x14ac:dyDescent="0.25">
      <c r="A36">
        <v>2</v>
      </c>
      <c r="B36">
        <f>E23</f>
        <v>6.5447749718186392E-9</v>
      </c>
      <c r="C36">
        <f>D23</f>
        <v>5.0355262229260776E-7</v>
      </c>
      <c r="D36">
        <f t="shared" si="3"/>
        <v>0.33111458235335489</v>
      </c>
      <c r="E36">
        <f t="shared" si="3"/>
        <v>0</v>
      </c>
      <c r="F36">
        <f t="shared" si="3"/>
        <v>1.6775589609347332</v>
      </c>
      <c r="G36">
        <f t="shared" si="3"/>
        <v>5.706992590155294</v>
      </c>
      <c r="H36">
        <f t="shared" si="3"/>
        <v>-1.539764519349758</v>
      </c>
    </row>
    <row r="37" spans="1:15" x14ac:dyDescent="0.25">
      <c r="A37">
        <v>3</v>
      </c>
      <c r="B37">
        <f>E24</f>
        <v>6.7400358457012864E-9</v>
      </c>
      <c r="C37">
        <f>D24</f>
        <v>4.8779230068800096E-7</v>
      </c>
      <c r="D37">
        <f t="shared" si="3"/>
        <v>-1.3466996583703192</v>
      </c>
      <c r="E37">
        <f t="shared" si="3"/>
        <v>-1.6775589609347332</v>
      </c>
      <c r="F37">
        <f t="shared" si="3"/>
        <v>0</v>
      </c>
      <c r="G37">
        <f t="shared" si="3"/>
        <v>5.5274528674025802</v>
      </c>
      <c r="H37">
        <f t="shared" si="3"/>
        <v>-3.2146047992261706</v>
      </c>
    </row>
    <row r="38" spans="1:15" x14ac:dyDescent="0.25">
      <c r="A38">
        <v>4</v>
      </c>
      <c r="B38">
        <f>E25</f>
        <v>8.7991258162453104E-8</v>
      </c>
      <c r="C38">
        <f>D25</f>
        <v>0</v>
      </c>
      <c r="D38">
        <f t="shared" si="3"/>
        <v>-5.6719823201000796</v>
      </c>
      <c r="E38">
        <f t="shared" si="3"/>
        <v>-5.706992590155294</v>
      </c>
      <c r="F38">
        <f t="shared" si="3"/>
        <v>-5.5274528674025802</v>
      </c>
      <c r="G38">
        <f t="shared" si="3"/>
        <v>0</v>
      </c>
      <c r="H38">
        <f t="shared" si="3"/>
        <v>-5.8672929825179025</v>
      </c>
    </row>
    <row r="39" spans="1:15" x14ac:dyDescent="0.25">
      <c r="A39">
        <v>5</v>
      </c>
      <c r="B39">
        <f>E26</f>
        <v>6.3797385689365061E-9</v>
      </c>
      <c r="C39">
        <f>D26</f>
        <v>5.1762569462545162E-7</v>
      </c>
      <c r="D39">
        <f t="shared" si="3"/>
        <v>1.870576626603514</v>
      </c>
      <c r="E39">
        <f t="shared" si="3"/>
        <v>1.539764519349758</v>
      </c>
      <c r="F39">
        <f t="shared" si="3"/>
        <v>3.2146047992261706</v>
      </c>
      <c r="G39">
        <f t="shared" si="3"/>
        <v>5.8672929825179025</v>
      </c>
      <c r="H39">
        <f t="shared" si="3"/>
        <v>0</v>
      </c>
    </row>
    <row r="41" spans="1:15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5" x14ac:dyDescent="0.25">
      <c r="B42" t="s">
        <v>26</v>
      </c>
      <c r="D42">
        <v>4.7453021884033763E-20</v>
      </c>
      <c r="E42">
        <v>4.7453021884033763E-20</v>
      </c>
      <c r="F42">
        <v>4.7453021884033763E-20</v>
      </c>
      <c r="G42">
        <v>4.7453021884033763E-20</v>
      </c>
      <c r="H42">
        <v>4.7453021884033763E-20</v>
      </c>
      <c r="I42">
        <v>3.5759778448796711E-20</v>
      </c>
      <c r="J42">
        <v>3.5759778448796711E-20</v>
      </c>
      <c r="K42">
        <v>3.5759778448796711E-20</v>
      </c>
      <c r="L42">
        <v>3.5759778448796711E-20</v>
      </c>
      <c r="M42">
        <v>3.5759778448796711E-20</v>
      </c>
    </row>
    <row r="43" spans="1:15" x14ac:dyDescent="0.25">
      <c r="C43" t="s">
        <v>35</v>
      </c>
      <c r="D43">
        <v>9.3535670410654425E-19</v>
      </c>
      <c r="E43">
        <v>8.9964050168366999E-19</v>
      </c>
      <c r="F43">
        <v>9.6855488112670369E-19</v>
      </c>
      <c r="G43">
        <v>9.8614331928307946E-19</v>
      </c>
      <c r="H43">
        <v>8.7132707944917663E-19</v>
      </c>
      <c r="I43">
        <v>9.2661018728331562E-19</v>
      </c>
      <c r="J43">
        <v>9.4956201337133833E-19</v>
      </c>
      <c r="K43">
        <v>9.8183801880759702E-19</v>
      </c>
      <c r="L43">
        <v>8.8363655545896404E-19</v>
      </c>
      <c r="M43">
        <v>9.3414660778983057E-19</v>
      </c>
    </row>
    <row r="44" spans="1:15" x14ac:dyDescent="0.25">
      <c r="A44">
        <v>1</v>
      </c>
      <c r="B44">
        <f>$H$29</f>
        <v>4.7453021884033763E-20</v>
      </c>
      <c r="C44" s="1">
        <f>J22</f>
        <v>9.3535670410654425E-19</v>
      </c>
      <c r="D44">
        <f>($C44-D$43)/SQRT($B44^2+D$42^2)</f>
        <v>0</v>
      </c>
      <c r="E44">
        <f t="shared" ref="E44:M44" si="4">($C44-E$43)/SQRT($B44^2+E$42^2)</f>
        <v>0.53221413365759207</v>
      </c>
      <c r="F44">
        <f t="shared" si="4"/>
        <v>-0.49469254352976272</v>
      </c>
      <c r="G44">
        <f t="shared" si="4"/>
        <v>-0.75678130831374157</v>
      </c>
      <c r="H44">
        <f t="shared" si="4"/>
        <v>0.95411798858035812</v>
      </c>
      <c r="I44">
        <f t="shared" si="4"/>
        <v>0.14720206029983404</v>
      </c>
      <c r="J44">
        <f t="shared" si="4"/>
        <v>-0.23907240256151879</v>
      </c>
      <c r="K44">
        <f t="shared" si="4"/>
        <v>-0.78227086595990503</v>
      </c>
      <c r="L44">
        <f t="shared" si="4"/>
        <v>0.87043935246524351</v>
      </c>
      <c r="M44">
        <f t="shared" si="4"/>
        <v>2.036566950953865E-2</v>
      </c>
    </row>
    <row r="45" spans="1:15" x14ac:dyDescent="0.25">
      <c r="A45">
        <v>2</v>
      </c>
      <c r="B45">
        <f t="shared" ref="B45:B48" si="5">$H$29</f>
        <v>4.7453021884033763E-20</v>
      </c>
      <c r="C45" s="1">
        <f>J23</f>
        <v>8.9964050168366999E-19</v>
      </c>
      <c r="D45">
        <f t="shared" ref="D45:M53" si="6">($C45-D$43)/SQRT($B45^2+D$42^2)</f>
        <v>-0.53221413365759207</v>
      </c>
      <c r="E45">
        <f t="shared" si="6"/>
        <v>0</v>
      </c>
      <c r="F45">
        <f t="shared" si="6"/>
        <v>-1.0269066771873547</v>
      </c>
      <c r="G45">
        <f t="shared" si="6"/>
        <v>-1.2889954419713336</v>
      </c>
      <c r="H45">
        <f t="shared" si="6"/>
        <v>0.42190385492276605</v>
      </c>
      <c r="I45">
        <f t="shared" si="6"/>
        <v>-0.45389420338885822</v>
      </c>
      <c r="J45">
        <f t="shared" si="6"/>
        <v>-0.84016866625021103</v>
      </c>
      <c r="K45">
        <f t="shared" si="6"/>
        <v>-1.3833671296485972</v>
      </c>
      <c r="L45">
        <f t="shared" si="6"/>
        <v>0.26934308877655128</v>
      </c>
      <c r="M45">
        <f t="shared" si="6"/>
        <v>-0.58073059417915363</v>
      </c>
    </row>
    <row r="46" spans="1:15" x14ac:dyDescent="0.25">
      <c r="A46">
        <v>3</v>
      </c>
      <c r="B46">
        <f t="shared" si="5"/>
        <v>4.7453021884033763E-20</v>
      </c>
      <c r="C46" s="1">
        <f>J24</f>
        <v>9.6855488112670369E-19</v>
      </c>
      <c r="D46">
        <f t="shared" si="6"/>
        <v>0.49469254352976272</v>
      </c>
      <c r="E46">
        <f t="shared" si="6"/>
        <v>1.0269066771873547</v>
      </c>
      <c r="F46">
        <f t="shared" si="6"/>
        <v>0</v>
      </c>
      <c r="G46">
        <f t="shared" si="6"/>
        <v>-0.2620887647839788</v>
      </c>
      <c r="H46">
        <f t="shared" si="6"/>
        <v>1.4488105321101208</v>
      </c>
      <c r="I46">
        <f t="shared" si="6"/>
        <v>0.70592047979544592</v>
      </c>
      <c r="J46">
        <f t="shared" si="6"/>
        <v>0.319646016934093</v>
      </c>
      <c r="K46">
        <f t="shared" si="6"/>
        <v>-0.22355244646429323</v>
      </c>
      <c r="L46">
        <f t="shared" si="6"/>
        <v>1.4291577719608552</v>
      </c>
      <c r="M46">
        <f t="shared" si="6"/>
        <v>0.57908408900515052</v>
      </c>
    </row>
    <row r="47" spans="1:15" x14ac:dyDescent="0.25">
      <c r="A47">
        <v>4</v>
      </c>
      <c r="B47">
        <f t="shared" si="5"/>
        <v>4.7453021884033763E-20</v>
      </c>
      <c r="C47" s="1">
        <f>J25</f>
        <v>9.8614331928307946E-19</v>
      </c>
      <c r="D47">
        <f t="shared" si="6"/>
        <v>0.75678130831374157</v>
      </c>
      <c r="E47">
        <f t="shared" si="6"/>
        <v>1.2889954419713336</v>
      </c>
      <c r="F47">
        <f t="shared" si="6"/>
        <v>0.2620887647839788</v>
      </c>
      <c r="G47">
        <f t="shared" si="6"/>
        <v>0</v>
      </c>
      <c r="H47">
        <f t="shared" si="6"/>
        <v>1.7108992968940997</v>
      </c>
      <c r="I47">
        <f t="shared" si="6"/>
        <v>1.001930238468616</v>
      </c>
      <c r="J47">
        <f t="shared" si="6"/>
        <v>0.61565577560726326</v>
      </c>
      <c r="K47">
        <f t="shared" si="6"/>
        <v>7.2457312208876967E-2</v>
      </c>
      <c r="L47">
        <f t="shared" si="6"/>
        <v>1.7251675306340255</v>
      </c>
      <c r="M47">
        <f t="shared" si="6"/>
        <v>0.87509384767832066</v>
      </c>
    </row>
    <row r="48" spans="1:15" x14ac:dyDescent="0.25">
      <c r="A48">
        <v>5</v>
      </c>
      <c r="B48">
        <f t="shared" si="5"/>
        <v>4.7453021884033763E-20</v>
      </c>
      <c r="C48" s="1">
        <f>J26</f>
        <v>8.7132707944917663E-19</v>
      </c>
      <c r="D48">
        <f t="shared" si="6"/>
        <v>-0.95411798858035812</v>
      </c>
      <c r="E48">
        <f t="shared" si="6"/>
        <v>-0.42190385492276605</v>
      </c>
      <c r="F48">
        <f t="shared" si="6"/>
        <v>-1.4488105321101208</v>
      </c>
      <c r="G48">
        <f t="shared" si="6"/>
        <v>-1.7108992968940997</v>
      </c>
      <c r="H48">
        <f t="shared" si="6"/>
        <v>0</v>
      </c>
      <c r="I48">
        <f t="shared" si="6"/>
        <v>-0.93040321506627299</v>
      </c>
      <c r="J48">
        <f t="shared" si="6"/>
        <v>-1.3166776779276259</v>
      </c>
      <c r="K48">
        <f t="shared" si="6"/>
        <v>-1.8598761413260121</v>
      </c>
      <c r="L48">
        <f t="shared" si="6"/>
        <v>-0.20716592290086358</v>
      </c>
      <c r="M48">
        <f t="shared" si="6"/>
        <v>-1.0572396058565685</v>
      </c>
    </row>
    <row r="49" spans="1:13" x14ac:dyDescent="0.25">
      <c r="A49">
        <v>6</v>
      </c>
      <c r="B49">
        <f>$M$29</f>
        <v>3.5759778448796711E-20</v>
      </c>
      <c r="C49" s="1">
        <f>P22</f>
        <v>9.2661018728331562E-19</v>
      </c>
      <c r="D49">
        <f t="shared" si="6"/>
        <v>-0.14720206029983404</v>
      </c>
      <c r="E49">
        <f t="shared" si="6"/>
        <v>0.45389420338885822</v>
      </c>
      <c r="F49">
        <f t="shared" si="6"/>
        <v>-0.70592047979544592</v>
      </c>
      <c r="G49">
        <f t="shared" si="6"/>
        <v>-1.001930238468616</v>
      </c>
      <c r="H49">
        <f t="shared" si="6"/>
        <v>0.93040321506627299</v>
      </c>
      <c r="I49">
        <f t="shared" si="6"/>
        <v>0</v>
      </c>
      <c r="J49">
        <f t="shared" si="6"/>
        <v>-0.45384486625647064</v>
      </c>
      <c r="K49">
        <f t="shared" si="6"/>
        <v>-1.0920642094291728</v>
      </c>
      <c r="L49">
        <f t="shared" si="6"/>
        <v>0.8497520900114951</v>
      </c>
      <c r="M49">
        <f t="shared" si="6"/>
        <v>-0.14902368742749833</v>
      </c>
    </row>
    <row r="50" spans="1:13" x14ac:dyDescent="0.25">
      <c r="A50">
        <v>7</v>
      </c>
      <c r="B50">
        <f t="shared" ref="B50:B53" si="7">$M$29</f>
        <v>3.5759778448796711E-20</v>
      </c>
      <c r="C50" s="1">
        <f t="shared" ref="C50:C53" si="8">P23</f>
        <v>9.4956201337133833E-19</v>
      </c>
      <c r="D50">
        <f t="shared" si="6"/>
        <v>0.23907240256151879</v>
      </c>
      <c r="E50">
        <f t="shared" si="6"/>
        <v>0.84016866625021103</v>
      </c>
      <c r="F50">
        <f t="shared" si="6"/>
        <v>-0.319646016934093</v>
      </c>
      <c r="G50">
        <f t="shared" si="6"/>
        <v>-0.61565577560726326</v>
      </c>
      <c r="H50">
        <f t="shared" si="6"/>
        <v>1.3166776779276259</v>
      </c>
      <c r="I50">
        <f t="shared" si="6"/>
        <v>0.45384486625647064</v>
      </c>
      <c r="J50">
        <f t="shared" si="6"/>
        <v>0</v>
      </c>
      <c r="K50">
        <f t="shared" si="6"/>
        <v>-0.63821934317270224</v>
      </c>
      <c r="L50">
        <f t="shared" si="6"/>
        <v>1.3035969562679657</v>
      </c>
      <c r="M50">
        <f t="shared" si="6"/>
        <v>0.30482117882897231</v>
      </c>
    </row>
    <row r="51" spans="1:13" x14ac:dyDescent="0.25">
      <c r="A51">
        <v>8</v>
      </c>
      <c r="B51">
        <f t="shared" si="7"/>
        <v>3.5759778448796711E-20</v>
      </c>
      <c r="C51" s="1">
        <f t="shared" si="8"/>
        <v>9.8183801880759702E-19</v>
      </c>
      <c r="D51">
        <f t="shared" si="6"/>
        <v>0.78227086595990503</v>
      </c>
      <c r="E51">
        <f t="shared" si="6"/>
        <v>1.3833671296485972</v>
      </c>
      <c r="F51">
        <f t="shared" si="6"/>
        <v>0.22355244646429323</v>
      </c>
      <c r="G51">
        <f t="shared" si="6"/>
        <v>-7.2457312208876967E-2</v>
      </c>
      <c r="H51">
        <f t="shared" si="6"/>
        <v>1.8598761413260121</v>
      </c>
      <c r="I51">
        <f t="shared" si="6"/>
        <v>1.0920642094291728</v>
      </c>
      <c r="J51">
        <f t="shared" si="6"/>
        <v>0.63821934317270224</v>
      </c>
      <c r="K51">
        <f t="shared" si="6"/>
        <v>0</v>
      </c>
      <c r="L51">
        <f t="shared" si="6"/>
        <v>1.941816299440668</v>
      </c>
      <c r="M51">
        <f t="shared" si="6"/>
        <v>0.94304052200167454</v>
      </c>
    </row>
    <row r="52" spans="1:13" x14ac:dyDescent="0.25">
      <c r="A52">
        <v>9</v>
      </c>
      <c r="B52">
        <f t="shared" si="7"/>
        <v>3.5759778448796711E-20</v>
      </c>
      <c r="C52" s="1">
        <f t="shared" si="8"/>
        <v>8.8363655545896404E-19</v>
      </c>
      <c r="D52">
        <f t="shared" si="6"/>
        <v>-0.87043935246524351</v>
      </c>
      <c r="E52">
        <f t="shared" si="6"/>
        <v>-0.26934308877655128</v>
      </c>
      <c r="F52">
        <f t="shared" si="6"/>
        <v>-1.4291577719608552</v>
      </c>
      <c r="G52">
        <f t="shared" si="6"/>
        <v>-1.7251675306340255</v>
      </c>
      <c r="H52">
        <f t="shared" si="6"/>
        <v>0.20716592290086358</v>
      </c>
      <c r="I52">
        <f t="shared" si="6"/>
        <v>-0.8497520900114951</v>
      </c>
      <c r="J52">
        <f t="shared" si="6"/>
        <v>-1.3035969562679657</v>
      </c>
      <c r="K52">
        <f t="shared" si="6"/>
        <v>-1.941816299440668</v>
      </c>
      <c r="L52">
        <f t="shared" si="6"/>
        <v>0</v>
      </c>
      <c r="M52">
        <f t="shared" si="6"/>
        <v>-0.99877577743899348</v>
      </c>
    </row>
    <row r="53" spans="1:13" x14ac:dyDescent="0.25">
      <c r="A53">
        <v>10</v>
      </c>
      <c r="B53">
        <f t="shared" si="7"/>
        <v>3.5759778448796711E-20</v>
      </c>
      <c r="C53" s="1">
        <f t="shared" si="8"/>
        <v>9.3414660778983057E-19</v>
      </c>
      <c r="D53">
        <f t="shared" si="6"/>
        <v>-2.036566950953865E-2</v>
      </c>
      <c r="E53">
        <f t="shared" si="6"/>
        <v>0.58073059417915363</v>
      </c>
      <c r="F53">
        <f t="shared" si="6"/>
        <v>-0.57908408900515052</v>
      </c>
      <c r="G53">
        <f t="shared" si="6"/>
        <v>-0.87509384767832066</v>
      </c>
      <c r="H53">
        <f t="shared" si="6"/>
        <v>1.0572396058565685</v>
      </c>
      <c r="I53">
        <f t="shared" si="6"/>
        <v>0.14902368742749833</v>
      </c>
      <c r="J53">
        <f t="shared" si="6"/>
        <v>-0.30482117882897231</v>
      </c>
      <c r="K53">
        <f t="shared" si="6"/>
        <v>-0.94304052200167454</v>
      </c>
      <c r="L53">
        <f t="shared" si="6"/>
        <v>0.99877577743899348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44" priority="4" operator="greaterThan">
      <formula>1.96</formula>
    </cfRule>
  </conditionalFormatting>
  <conditionalFormatting sqref="D35:H39">
    <cfRule type="cellIs" dxfId="43" priority="3" operator="notBetween">
      <formula>-1.96</formula>
      <formula>1.96</formula>
    </cfRule>
  </conditionalFormatting>
  <conditionalFormatting sqref="I22:I26">
    <cfRule type="cellIs" dxfId="42" priority="2" operator="notBetween">
      <formula>$J$19</formula>
      <formula>$K$19</formula>
    </cfRule>
  </conditionalFormatting>
  <conditionalFormatting sqref="O22:O26">
    <cfRule type="cellIs" dxfId="41" priority="1" operator="notBetween">
      <formula>$P$19</formula>
      <formula>$Q$19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13" zoomScaleNormal="100" workbookViewId="0">
      <selection activeCell="P22" sqref="P22:P26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((G29+L29)/2)/B11</f>
        <v>11.629342755911633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6" x14ac:dyDescent="0.25">
      <c r="A17" t="s">
        <v>23</v>
      </c>
      <c r="B17">
        <v>2.2400000000000002</v>
      </c>
      <c r="D17" t="s">
        <v>1</v>
      </c>
      <c r="E17" s="2">
        <f>E16/(1+$B$10/($B$7*B29))</f>
        <v>1.5739139388101941E-5</v>
      </c>
    </row>
    <row r="18" spans="1:16" x14ac:dyDescent="0.2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6" x14ac:dyDescent="0.25">
      <c r="A20" t="s">
        <v>7</v>
      </c>
      <c r="B20">
        <v>1</v>
      </c>
    </row>
    <row r="21" spans="1:16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I21" t="s">
        <v>20</v>
      </c>
      <c r="J21" t="s">
        <v>22</v>
      </c>
      <c r="M21" t="s">
        <v>38</v>
      </c>
      <c r="O21" t="s">
        <v>20</v>
      </c>
      <c r="P21" t="s">
        <v>22</v>
      </c>
    </row>
    <row r="22" spans="1:16" x14ac:dyDescent="0.25">
      <c r="A22">
        <v>1</v>
      </c>
      <c r="B22">
        <v>18.989999999999998</v>
      </c>
      <c r="C22" s="1">
        <f>B12/B22</f>
        <v>2.6329647182727753E-5</v>
      </c>
      <c r="D22">
        <f>(($B$10/(2*$B$7))^2+9*E16*C22/(2*$B$6*($B$9-$B$8)))^(1/2)-$B$10/(2*$B$7)</f>
        <v>4.6806591928162416E-7</v>
      </c>
      <c r="E22" s="1">
        <f>(D22+$B$10/(2*$B$7))^(-1)*9*E16/(2*$B$6*($B$9-$B$8))*1/2*C28</f>
        <v>1.2870467088555993E-8</v>
      </c>
      <c r="F22" s="1"/>
      <c r="G22">
        <v>83.84</v>
      </c>
      <c r="H22" s="6">
        <f>G22-B26</f>
        <v>0.84000000000000341</v>
      </c>
      <c r="I22" s="1">
        <f>$B$12/(G22-B26)</f>
        <v>5.952380952380928E-4</v>
      </c>
      <c r="J22" s="1">
        <f>(4*PI()/3)*B29^3*($B$9-$B$8)*($B$6/E18)*(1+ABS(I22)/B28)</f>
        <v>1.7414619738003732E-18</v>
      </c>
      <c r="K22" s="1"/>
      <c r="M22">
        <v>87.59</v>
      </c>
      <c r="N22" s="6">
        <f>M22-G26</f>
        <v>0.75</v>
      </c>
      <c r="O22" s="1">
        <f>B12/(M22-G26)</f>
        <v>6.6666666666666664E-4</v>
      </c>
      <c r="P22" s="1">
        <f>-(4*PI()/3)*B29^3*($B$9-$B$8)*($B$6/$E$18)*(1-ABS(O22)/B28)</f>
        <v>1.7712572573768672E-18</v>
      </c>
    </row>
    <row r="23" spans="1:16" x14ac:dyDescent="0.25">
      <c r="A23">
        <v>2</v>
      </c>
      <c r="B23">
        <v>34.340000000000003</v>
      </c>
      <c r="C23" s="1">
        <f>$B$12/(B23-B22)</f>
        <v>3.2573289902280121E-5</v>
      </c>
      <c r="D23">
        <f>(($B$10/(2*$B$7))^2+9*E16*C23/(2*$B$6*($B$9-$B$8)))^(1/2)-$B$10/(2*$B$7)</f>
        <v>5.2481271738366411E-7</v>
      </c>
      <c r="E23" s="1">
        <f>(D23+$B$10/(2*$B$7))^(-1)*9*E16/(2*$B$6*($B$9-$B$8))*1/2*C28</f>
        <v>1.1578430881130994E-8</v>
      </c>
      <c r="F23" s="1"/>
      <c r="G23">
        <v>84.55</v>
      </c>
      <c r="H23" s="6">
        <f>G23-G22</f>
        <v>0.70999999999999375</v>
      </c>
      <c r="I23" s="1">
        <f>$B$12/(G23-G22)</f>
        <v>7.0422535211268227E-4</v>
      </c>
      <c r="J23" s="1">
        <f>(4*PI()/3)*B29^3*($B$9-$B$8)*($B$6/E18)*(1+ABS(I23)/B28)</f>
        <v>2.0448459095252462E-18</v>
      </c>
      <c r="K23" s="1"/>
      <c r="M23">
        <v>88.38</v>
      </c>
      <c r="N23" s="6">
        <f>M23-M22</f>
        <v>0.78999999999999204</v>
      </c>
      <c r="O23" s="1">
        <f>$B$12/(M23-M22)</f>
        <v>6.329113924050697E-4</v>
      </c>
      <c r="P23" s="1">
        <f>-(4*PI()/3)*B29^3*($B$9-$B$8)*($B$6/$E$18)*(1-ABS(O23)/B28)</f>
        <v>1.6772939055995141E-18</v>
      </c>
    </row>
    <row r="24" spans="1:16" x14ac:dyDescent="0.25">
      <c r="A24">
        <v>3</v>
      </c>
      <c r="B24">
        <v>50.83</v>
      </c>
      <c r="C24" s="1">
        <f t="shared" ref="C24:C26" si="0">$B$12/(B24-B23)</f>
        <v>3.0321406913280787E-5</v>
      </c>
      <c r="D24">
        <f>(($B$10/(2*$B$7))^2+9*E16*C24/(2*$B$6*($B$9-$B$8)))^(1/2)-$B$10/(2*$B$7)</f>
        <v>5.0502699221486326E-7</v>
      </c>
      <c r="E24" s="1">
        <f>(D24+$B$10/(2*$B$7))^(-1)*9*E16/(2*$B$6*($B$9-$B$8))*1/2*C28</f>
        <v>1.199839695923623E-8</v>
      </c>
      <c r="F24" s="1"/>
      <c r="G24">
        <v>85.33</v>
      </c>
      <c r="H24" s="6">
        <f>G24-G23</f>
        <v>0.78000000000000114</v>
      </c>
      <c r="I24" s="1">
        <f>$B$12/(G24-G23)</f>
        <v>6.4102564102564016E-4</v>
      </c>
      <c r="J24" s="1">
        <f>(4*PI()/3)*B29^3*($B$9-$B$8)*($B$6/E18)*(1+ABS(I24)/B28)</f>
        <v>1.8689191302291604E-18</v>
      </c>
      <c r="K24" s="1"/>
      <c r="M24">
        <v>89.14</v>
      </c>
      <c r="N24" s="6">
        <f>M24-M23</f>
        <v>0.76000000000000512</v>
      </c>
      <c r="O24" s="1">
        <f>$B$12/(M24-M23)</f>
        <v>6.578947368421008E-4</v>
      </c>
      <c r="P24" s="1">
        <f>-(4*PI()/3)*B29^3*($B$9-$B$8)*($B$6/E18)*(1-ABS(O24)/B28)</f>
        <v>1.7468391495136564E-18</v>
      </c>
    </row>
    <row r="25" spans="1:16" x14ac:dyDescent="0.25">
      <c r="A25">
        <v>4</v>
      </c>
      <c r="B25">
        <v>65.599999999999994</v>
      </c>
      <c r="C25" s="1">
        <f t="shared" si="0"/>
        <v>3.3852403520649973E-5</v>
      </c>
      <c r="D25">
        <f>(($B$10/(2*$B$7))^2+9*E16*C25/(2*$B$6*($B$9-$B$8)))^(1/2)-$B$10/(2*$B$7)</f>
        <v>5.3574891992047506E-7</v>
      </c>
      <c r="E25" s="1">
        <f>(D25+$B$10/(2*$B$7))^(-1)*9*E16/(2*$B$6*($B$9-$B$8))*1/2*C28</f>
        <v>1.1358678610928463E-8</v>
      </c>
      <c r="F25" s="1"/>
      <c r="G25">
        <v>86.08</v>
      </c>
      <c r="H25" s="6">
        <f t="shared" ref="H25" si="1">G25-G24</f>
        <v>0.75</v>
      </c>
      <c r="I25" s="1">
        <f>$B$12/(G25-G24)</f>
        <v>6.6666666666666664E-4</v>
      </c>
      <c r="J25" s="1">
        <f>(4*PI()/3)*B29^3*($B$9-$B$8)*($B$6/E18)*(1+ABS(I25)/B28)</f>
        <v>1.9402951378292806E-18</v>
      </c>
      <c r="K25" s="1"/>
      <c r="M25">
        <v>89.83</v>
      </c>
      <c r="N25" s="6">
        <f t="shared" ref="N25" si="2">M25-M24</f>
        <v>0.68999999999999773</v>
      </c>
      <c r="O25" s="1">
        <f>$B$12/(M25-M24)</f>
        <v>7.2463768115942268E-4</v>
      </c>
      <c r="P25" s="1">
        <f>-(4*PI()/3)*B29^3*($B$9-$B$8)*($B$6/E18)*(1-ABS(O25)/B28)</f>
        <v>1.9326291006467062E-18</v>
      </c>
    </row>
    <row r="26" spans="1:16" x14ac:dyDescent="0.25">
      <c r="A26">
        <v>5</v>
      </c>
      <c r="B26">
        <v>83</v>
      </c>
      <c r="C26" s="1">
        <f t="shared" si="0"/>
        <v>2.8735632183908038E-5</v>
      </c>
      <c r="D26">
        <f>(($B$10/(2*$B$7))^2+9*E16*C26/(2*$B$6*($B$9-$B$8)))^(1/2)-$B$10/(2*$B$7)</f>
        <v>4.9065179601823817E-7</v>
      </c>
      <c r="E26" s="1">
        <f>(D26+$B$10/(2*$B$7))^(-1)*9*E16/(2*$B$6*($B$9-$B$8))*1/2*C28</f>
        <v>1.2323146023491972E-8</v>
      </c>
      <c r="F26" s="1"/>
      <c r="G26">
        <v>86.84</v>
      </c>
      <c r="H26" s="6">
        <f>G26-G25</f>
        <v>0.76000000000000512</v>
      </c>
      <c r="I26" s="1">
        <f>$B$12/(G26-G25)</f>
        <v>6.578947368421008E-4</v>
      </c>
      <c r="J26" s="1">
        <f>(4*PI()/3)*B29^3*($B$9-$B$8)*($B$6/E18)*(1+ABS(I26)/B28)</f>
        <v>1.9158770299660702E-18</v>
      </c>
      <c r="K26" s="1"/>
      <c r="M26">
        <v>90.5</v>
      </c>
      <c r="N26" s="6">
        <f>M26-M25</f>
        <v>0.67000000000000171</v>
      </c>
      <c r="O26" s="1">
        <f>$B$12/(M26-M25)</f>
        <v>7.4626865671641607E-4</v>
      </c>
      <c r="P26" s="1">
        <f>-(4*PI()/3)*B29^3*($B$9-$B$8)*($B$6/E18)*(1-ABS(O26)/B28)</f>
        <v>1.9928424750011096E-18</v>
      </c>
    </row>
    <row r="27" spans="1:16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L27" s="1" t="s">
        <v>28</v>
      </c>
      <c r="M27" s="1" t="s">
        <v>29</v>
      </c>
      <c r="N27" t="s">
        <v>34</v>
      </c>
    </row>
    <row r="28" spans="1:16" x14ac:dyDescent="0.25">
      <c r="A28" t="s">
        <v>27</v>
      </c>
      <c r="B28" s="1">
        <f>AVERAGE(C22:C26)</f>
        <v>3.0362475940569333E-5</v>
      </c>
      <c r="C28" s="1">
        <f>_xlfn.STDEV.S(C22:C26)/SQRT(COUNT(C22:C26))</f>
        <v>1.3412551575141694E-6</v>
      </c>
      <c r="F28" t="str">
        <f>J28</f>
        <v>Velocità</v>
      </c>
      <c r="G28" s="1">
        <f>AVERAGE(I22:I26)</f>
        <v>6.5301009837703654E-4</v>
      </c>
      <c r="H28" s="1">
        <f>_xlfn.STDEV.S(I22:I26)</f>
        <v>3.9732214040636647E-5</v>
      </c>
      <c r="I28" s="2">
        <f>H28/SQRT(5)</f>
        <v>1.7768786298287027E-5</v>
      </c>
      <c r="J28" t="s">
        <v>27</v>
      </c>
      <c r="L28" s="1">
        <f>AVERAGE(O22:O26)</f>
        <v>6.8567582675793518E-4</v>
      </c>
      <c r="M28" s="1">
        <f>_xlfn.STDEV.S(O22:O26)</f>
        <v>4.771461987076155E-5</v>
      </c>
      <c r="N28" s="2">
        <f>M28/SQRT(5)</f>
        <v>2.1338626710317009E-5</v>
      </c>
    </row>
    <row r="29" spans="1:16" x14ac:dyDescent="0.25">
      <c r="A29" t="s">
        <v>5</v>
      </c>
      <c r="B29">
        <f>AVERAGE(D22:D26)</f>
        <v>5.0486126896377307E-7</v>
      </c>
      <c r="C29">
        <f>_xlfn.STDEV.S(D22:D26)/SQRT(COUNT(D22:D26))</f>
        <v>1.2058071196281935E-8</v>
      </c>
      <c r="D29" s="1">
        <f>(B29+$B$10/(2*$B$7))^(-1)*9*E16/(2*$B$6*($B$9-$B$8))*1/2*C28</f>
        <v>1.2002043248887042E-8</v>
      </c>
      <c r="F29" t="str">
        <f>J29</f>
        <v>Carica</v>
      </c>
      <c r="G29">
        <f>AVERAGE(J22:J26)</f>
        <v>1.9022798362700263E-18</v>
      </c>
      <c r="H29">
        <f>_xlfn.STDEV.S(J22:J26)</f>
        <v>1.1060114564202626E-19</v>
      </c>
      <c r="I29" s="2">
        <f>H29/SQRT(5)</f>
        <v>4.9462336008985062E-20</v>
      </c>
      <c r="J29" t="s">
        <v>33</v>
      </c>
      <c r="L29">
        <f>AVERAGE(P22:P26)</f>
        <v>1.824172377627571E-18</v>
      </c>
      <c r="M29">
        <f>_xlfn.STDEV.S(P22:P26)</f>
        <v>1.3282148375075686E-19</v>
      </c>
      <c r="N29" s="2">
        <f>M29/SQRT(5)</f>
        <v>5.9399573307815212E-20</v>
      </c>
    </row>
    <row r="32" spans="1:16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  <c r="L32" t="s">
        <v>40</v>
      </c>
      <c r="M32" t="s">
        <v>41</v>
      </c>
      <c r="N32" t="s">
        <v>42</v>
      </c>
      <c r="O32" t="s">
        <v>43</v>
      </c>
    </row>
    <row r="33" spans="1:15" x14ac:dyDescent="0.25">
      <c r="B33" t="s">
        <v>26</v>
      </c>
      <c r="D33">
        <f t="array" ref="D33:H34">TRANSPOSE(B35:C39)</f>
        <v>1.2870467088555993E-8</v>
      </c>
      <c r="E33">
        <v>1.1578430881130994E-8</v>
      </c>
      <c r="F33">
        <v>1.199839695923623E-8</v>
      </c>
      <c r="G33">
        <v>1.1358678610928463E-8</v>
      </c>
      <c r="H33">
        <v>1.2323146023491972E-8</v>
      </c>
      <c r="K33" t="s">
        <v>39</v>
      </c>
      <c r="L33">
        <f>AVERAGE(H22:H26,N22:N26)</f>
        <v>0.75</v>
      </c>
      <c r="M33">
        <f>_xlfn.STDEV.P(H22:H26,N22:N26)</f>
        <v>4.7328638264797718E-2</v>
      </c>
      <c r="N33">
        <f>L33+1.96*M33</f>
        <v>0.84276413099900349</v>
      </c>
      <c r="O33">
        <f>L33-1.96*M33</f>
        <v>0.65723586900099651</v>
      </c>
    </row>
    <row r="34" spans="1:15" x14ac:dyDescent="0.25">
      <c r="C34" t="s">
        <v>21</v>
      </c>
      <c r="D34">
        <v>4.6806591928162416E-7</v>
      </c>
      <c r="E34">
        <v>5.2481271738366411E-7</v>
      </c>
      <c r="F34">
        <v>5.0502699221486326E-7</v>
      </c>
      <c r="G34">
        <v>5.3574891992047506E-7</v>
      </c>
      <c r="H34">
        <v>4.9065179601823817E-7</v>
      </c>
    </row>
    <row r="35" spans="1:15" x14ac:dyDescent="0.25">
      <c r="A35">
        <v>1</v>
      </c>
      <c r="B35" s="1">
        <f>E22</f>
        <v>1.2870467088555993E-8</v>
      </c>
      <c r="C35">
        <f>D22</f>
        <v>4.6806591928162416E-7</v>
      </c>
      <c r="D35">
        <f t="shared" ref="D35:H39" si="3">($C35-D$34)/SQRT($B35^2+D$33^2)</f>
        <v>0</v>
      </c>
      <c r="E35">
        <f t="shared" si="3"/>
        <v>-3.2778681511156473</v>
      </c>
      <c r="F35">
        <f t="shared" si="3"/>
        <v>-2.1005680842015138</v>
      </c>
      <c r="G35">
        <f t="shared" si="3"/>
        <v>-3.942872613213237</v>
      </c>
      <c r="H35">
        <f t="shared" si="3"/>
        <v>-1.267532301058772</v>
      </c>
    </row>
    <row r="36" spans="1:15" x14ac:dyDescent="0.25">
      <c r="A36">
        <v>2</v>
      </c>
      <c r="B36">
        <f>E23</f>
        <v>1.1578430881130994E-8</v>
      </c>
      <c r="C36">
        <f>D23</f>
        <v>5.2481271738366411E-7</v>
      </c>
      <c r="D36">
        <f t="shared" si="3"/>
        <v>3.2778681511156473</v>
      </c>
      <c r="E36">
        <f t="shared" si="3"/>
        <v>0</v>
      </c>
      <c r="F36">
        <f t="shared" si="3"/>
        <v>1.1866228579776996</v>
      </c>
      <c r="G36">
        <f t="shared" si="3"/>
        <v>-0.67425305680278191</v>
      </c>
      <c r="H36">
        <f t="shared" si="3"/>
        <v>2.0202602366080846</v>
      </c>
    </row>
    <row r="37" spans="1:15" x14ac:dyDescent="0.25">
      <c r="A37">
        <v>3</v>
      </c>
      <c r="B37">
        <f>E24</f>
        <v>1.199839695923623E-8</v>
      </c>
      <c r="C37">
        <f>D24</f>
        <v>5.0502699221486326E-7</v>
      </c>
      <c r="D37">
        <f t="shared" si="3"/>
        <v>2.1005680842015138</v>
      </c>
      <c r="E37">
        <f t="shared" si="3"/>
        <v>-1.1866228579776996</v>
      </c>
      <c r="F37">
        <f t="shared" si="3"/>
        <v>0</v>
      </c>
      <c r="G37">
        <f t="shared" si="3"/>
        <v>-1.8594399848162244</v>
      </c>
      <c r="H37">
        <f t="shared" si="3"/>
        <v>0.83579341383801575</v>
      </c>
    </row>
    <row r="38" spans="1:15" x14ac:dyDescent="0.25">
      <c r="A38">
        <v>4</v>
      </c>
      <c r="B38">
        <f>E25</f>
        <v>1.1358678610928463E-8</v>
      </c>
      <c r="C38">
        <f>D25</f>
        <v>5.3574891992047506E-7</v>
      </c>
      <c r="D38">
        <f t="shared" si="3"/>
        <v>3.942872613213237</v>
      </c>
      <c r="E38">
        <f t="shared" si="3"/>
        <v>0.67425305680278191</v>
      </c>
      <c r="F38">
        <f t="shared" si="3"/>
        <v>1.8594399848162244</v>
      </c>
      <c r="G38">
        <f t="shared" si="3"/>
        <v>0</v>
      </c>
      <c r="H38">
        <f t="shared" si="3"/>
        <v>2.690845841278013</v>
      </c>
    </row>
    <row r="39" spans="1:15" x14ac:dyDescent="0.25">
      <c r="A39">
        <v>5</v>
      </c>
      <c r="B39">
        <f>E26</f>
        <v>1.2323146023491972E-8</v>
      </c>
      <c r="C39">
        <f>D26</f>
        <v>4.9065179601823817E-7</v>
      </c>
      <c r="D39">
        <f t="shared" si="3"/>
        <v>1.267532301058772</v>
      </c>
      <c r="E39">
        <f t="shared" si="3"/>
        <v>-2.0202602366080846</v>
      </c>
      <c r="F39">
        <f t="shared" si="3"/>
        <v>-0.83579341383801575</v>
      </c>
      <c r="G39">
        <f t="shared" si="3"/>
        <v>-2.690845841278013</v>
      </c>
      <c r="H39">
        <f t="shared" si="3"/>
        <v>0</v>
      </c>
    </row>
    <row r="41" spans="1:15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5" x14ac:dyDescent="0.25">
      <c r="B42" t="s">
        <v>26</v>
      </c>
      <c r="D42">
        <v>1.1060114564202626E-19</v>
      </c>
      <c r="E42">
        <v>1.1060114564202626E-19</v>
      </c>
      <c r="F42">
        <v>1.1060114564202626E-19</v>
      </c>
      <c r="G42">
        <v>1.1060114564202626E-19</v>
      </c>
      <c r="H42">
        <v>1.1060114564202626E-19</v>
      </c>
      <c r="I42">
        <v>1.3282148375075686E-19</v>
      </c>
      <c r="J42">
        <v>1.3282148375075686E-19</v>
      </c>
      <c r="K42">
        <v>1.3282148375075686E-19</v>
      </c>
      <c r="L42">
        <v>1.3282148375075686E-19</v>
      </c>
      <c r="M42">
        <v>1.3282148375075686E-19</v>
      </c>
    </row>
    <row r="43" spans="1:15" x14ac:dyDescent="0.25">
      <c r="C43" t="s">
        <v>35</v>
      </c>
      <c r="D43">
        <v>1.7414619738003732E-18</v>
      </c>
      <c r="E43">
        <v>2.0448459095252462E-18</v>
      </c>
      <c r="F43">
        <v>1.8689191302291604E-18</v>
      </c>
      <c r="G43">
        <v>1.9402951378292806E-18</v>
      </c>
      <c r="H43">
        <v>1.9158770299660702E-18</v>
      </c>
      <c r="I43">
        <v>1.7712572573768672E-18</v>
      </c>
      <c r="J43">
        <v>1.6772939055995141E-18</v>
      </c>
      <c r="K43">
        <v>1.7468391495136564E-18</v>
      </c>
      <c r="L43">
        <v>1.9326291006467062E-18</v>
      </c>
      <c r="M43">
        <v>1.9928424750011096E-18</v>
      </c>
    </row>
    <row r="44" spans="1:15" x14ac:dyDescent="0.25">
      <c r="A44">
        <v>1</v>
      </c>
      <c r="B44">
        <f>$H$29</f>
        <v>1.1060114564202626E-19</v>
      </c>
      <c r="C44" s="1">
        <f>J22</f>
        <v>1.7414619738003732E-18</v>
      </c>
      <c r="D44">
        <f>($C44-D$43)/SQRT($B44^2+D$42^2)</f>
        <v>0</v>
      </c>
      <c r="E44">
        <f t="shared" ref="E44:M44" si="4">($C44-E$43)/SQRT($B44^2+E$42^2)</f>
        <v>-1.9396258240258781</v>
      </c>
      <c r="F44">
        <f t="shared" si="4"/>
        <v>-0.81487238760846947</v>
      </c>
      <c r="G44">
        <f t="shared" si="4"/>
        <v>-1.2712009246692082</v>
      </c>
      <c r="H44">
        <f t="shared" si="4"/>
        <v>-1.1150885304115141</v>
      </c>
      <c r="I44">
        <f t="shared" si="4"/>
        <v>-0.17238507895489402</v>
      </c>
      <c r="J44">
        <f t="shared" si="4"/>
        <v>0.37125397631438617</v>
      </c>
      <c r="K44">
        <f t="shared" si="4"/>
        <v>-3.1110456039423029E-2</v>
      </c>
      <c r="L44">
        <f t="shared" si="4"/>
        <v>-1.1060260651784379</v>
      </c>
      <c r="M44">
        <f t="shared" si="4"/>
        <v>-1.4543995675005734</v>
      </c>
    </row>
    <row r="45" spans="1:15" x14ac:dyDescent="0.25">
      <c r="A45">
        <v>2</v>
      </c>
      <c r="B45">
        <f t="shared" ref="B45:B48" si="5">$H$29</f>
        <v>1.1060114564202626E-19</v>
      </c>
      <c r="C45" s="1">
        <f>J23</f>
        <v>2.0448459095252462E-18</v>
      </c>
      <c r="D45">
        <f t="shared" ref="D45:M53" si="6">($C45-D$43)/SQRT($B45^2+D$42^2)</f>
        <v>1.9396258240258781</v>
      </c>
      <c r="E45">
        <f t="shared" si="6"/>
        <v>0</v>
      </c>
      <c r="F45">
        <f t="shared" si="6"/>
        <v>1.1247534364174088</v>
      </c>
      <c r="G45">
        <f t="shared" si="6"/>
        <v>0.66842489935667004</v>
      </c>
      <c r="H45">
        <f t="shared" si="6"/>
        <v>0.82453729361436412</v>
      </c>
      <c r="I45">
        <f t="shared" si="6"/>
        <v>1.5828881534448211</v>
      </c>
      <c r="J45">
        <f t="shared" si="6"/>
        <v>2.1265272087141014</v>
      </c>
      <c r="K45">
        <f t="shared" si="6"/>
        <v>1.7241627763602922</v>
      </c>
      <c r="L45">
        <f t="shared" si="6"/>
        <v>0.64924716722127729</v>
      </c>
      <c r="M45">
        <f t="shared" si="6"/>
        <v>0.30087366489914169</v>
      </c>
    </row>
    <row r="46" spans="1:15" x14ac:dyDescent="0.25">
      <c r="A46">
        <v>3</v>
      </c>
      <c r="B46">
        <f t="shared" si="5"/>
        <v>1.1060114564202626E-19</v>
      </c>
      <c r="C46" s="1">
        <f>J24</f>
        <v>1.8689191302291604E-18</v>
      </c>
      <c r="D46">
        <f t="shared" si="6"/>
        <v>0.81487238760846947</v>
      </c>
      <c r="E46">
        <f t="shared" si="6"/>
        <v>-1.1247534364174088</v>
      </c>
      <c r="F46">
        <f t="shared" si="6"/>
        <v>0</v>
      </c>
      <c r="G46">
        <f t="shared" si="6"/>
        <v>-0.45632853706073867</v>
      </c>
      <c r="H46">
        <f t="shared" si="6"/>
        <v>-0.30021614280304465</v>
      </c>
      <c r="I46">
        <f t="shared" si="6"/>
        <v>0.56503740329584173</v>
      </c>
      <c r="J46">
        <f t="shared" si="6"/>
        <v>1.1086764585651219</v>
      </c>
      <c r="K46">
        <f t="shared" si="6"/>
        <v>0.70631202621131273</v>
      </c>
      <c r="L46">
        <f t="shared" si="6"/>
        <v>-0.36860358292770223</v>
      </c>
      <c r="M46">
        <f t="shared" si="6"/>
        <v>-0.71697708524983783</v>
      </c>
    </row>
    <row r="47" spans="1:15" x14ac:dyDescent="0.25">
      <c r="A47">
        <v>4</v>
      </c>
      <c r="B47">
        <f t="shared" si="5"/>
        <v>1.1060114564202626E-19</v>
      </c>
      <c r="C47" s="1">
        <f>J25</f>
        <v>1.9402951378292806E-18</v>
      </c>
      <c r="D47">
        <f t="shared" si="6"/>
        <v>1.2712009246692082</v>
      </c>
      <c r="E47">
        <f t="shared" si="6"/>
        <v>-0.66842489935667004</v>
      </c>
      <c r="F47">
        <f t="shared" si="6"/>
        <v>0.45632853706073867</v>
      </c>
      <c r="G47">
        <f t="shared" si="6"/>
        <v>0</v>
      </c>
      <c r="H47">
        <f t="shared" si="6"/>
        <v>0.15611239425769402</v>
      </c>
      <c r="I47">
        <f t="shared" si="6"/>
        <v>0.97799399335624992</v>
      </c>
      <c r="J47">
        <f t="shared" si="6"/>
        <v>1.5216330486255301</v>
      </c>
      <c r="K47">
        <f t="shared" si="6"/>
        <v>1.1192686162717209</v>
      </c>
      <c r="L47">
        <f t="shared" si="6"/>
        <v>4.4353007132705943E-2</v>
      </c>
      <c r="M47">
        <f t="shared" si="6"/>
        <v>-0.30402049518942964</v>
      </c>
    </row>
    <row r="48" spans="1:15" x14ac:dyDescent="0.25">
      <c r="A48">
        <v>5</v>
      </c>
      <c r="B48">
        <f t="shared" si="5"/>
        <v>1.1060114564202626E-19</v>
      </c>
      <c r="C48" s="1">
        <f>J26</f>
        <v>1.9158770299660702E-18</v>
      </c>
      <c r="D48">
        <f t="shared" si="6"/>
        <v>1.1150885304115141</v>
      </c>
      <c r="E48">
        <f t="shared" si="6"/>
        <v>-0.82453729361436412</v>
      </c>
      <c r="F48">
        <f t="shared" si="6"/>
        <v>0.30021614280304465</v>
      </c>
      <c r="G48">
        <f t="shared" si="6"/>
        <v>-0.15611239425769402</v>
      </c>
      <c r="H48">
        <f t="shared" si="6"/>
        <v>0</v>
      </c>
      <c r="I48">
        <f t="shared" si="6"/>
        <v>0.83671937044078115</v>
      </c>
      <c r="J48">
        <f t="shared" si="6"/>
        <v>1.3803584257100612</v>
      </c>
      <c r="K48">
        <f t="shared" si="6"/>
        <v>0.97799399335625214</v>
      </c>
      <c r="L48">
        <f t="shared" si="6"/>
        <v>-9.6921615782762829E-2</v>
      </c>
      <c r="M48">
        <f t="shared" si="6"/>
        <v>-0.44529511810489841</v>
      </c>
    </row>
    <row r="49" spans="1:13" x14ac:dyDescent="0.25">
      <c r="A49">
        <v>6</v>
      </c>
      <c r="B49">
        <f>$M$29</f>
        <v>1.3282148375075686E-19</v>
      </c>
      <c r="C49" s="1">
        <f>P22</f>
        <v>1.7712572573768672E-18</v>
      </c>
      <c r="D49">
        <f t="shared" si="6"/>
        <v>0.17238507895489402</v>
      </c>
      <c r="E49">
        <f t="shared" si="6"/>
        <v>-1.5828881534448211</v>
      </c>
      <c r="F49">
        <f t="shared" si="6"/>
        <v>-0.56503740329584173</v>
      </c>
      <c r="G49">
        <f t="shared" si="6"/>
        <v>-0.97799399335624992</v>
      </c>
      <c r="H49">
        <f t="shared" si="6"/>
        <v>-0.83671937044078115</v>
      </c>
      <c r="I49">
        <f t="shared" si="6"/>
        <v>0</v>
      </c>
      <c r="J49">
        <f t="shared" si="6"/>
        <v>0.50023626711973657</v>
      </c>
      <c r="K49">
        <f t="shared" si="6"/>
        <v>0.12999560888975933</v>
      </c>
      <c r="L49">
        <f t="shared" si="6"/>
        <v>-0.85910141527104966</v>
      </c>
      <c r="M49">
        <f t="shared" si="6"/>
        <v>-1.1796616448497237</v>
      </c>
    </row>
    <row r="50" spans="1:13" x14ac:dyDescent="0.25">
      <c r="A50">
        <v>7</v>
      </c>
      <c r="B50">
        <f t="shared" ref="B50:B53" si="7">$M$29</f>
        <v>1.3282148375075686E-19</v>
      </c>
      <c r="C50" s="1">
        <f>P23</f>
        <v>1.6772939055995141E-18</v>
      </c>
      <c r="D50">
        <f t="shared" si="6"/>
        <v>-0.37125397631438617</v>
      </c>
      <c r="E50">
        <f t="shared" si="6"/>
        <v>-2.1265272087141014</v>
      </c>
      <c r="F50">
        <f t="shared" si="6"/>
        <v>-1.1086764585651219</v>
      </c>
      <c r="G50">
        <f t="shared" si="6"/>
        <v>-1.5216330486255301</v>
      </c>
      <c r="H50">
        <f t="shared" si="6"/>
        <v>-1.3803584257100612</v>
      </c>
      <c r="I50">
        <f t="shared" si="6"/>
        <v>-0.50023626711973657</v>
      </c>
      <c r="J50">
        <f t="shared" si="6"/>
        <v>0</v>
      </c>
      <c r="K50">
        <f t="shared" si="6"/>
        <v>-0.3702406582299772</v>
      </c>
      <c r="L50">
        <f t="shared" si="6"/>
        <v>-1.3593376823907861</v>
      </c>
      <c r="M50">
        <f t="shared" si="6"/>
        <v>-1.6798979119694604</v>
      </c>
    </row>
    <row r="51" spans="1:13" x14ac:dyDescent="0.25">
      <c r="A51">
        <v>8</v>
      </c>
      <c r="B51">
        <f t="shared" si="7"/>
        <v>1.3282148375075686E-19</v>
      </c>
      <c r="C51" s="1">
        <f>P24</f>
        <v>1.7468391495136564E-18</v>
      </c>
      <c r="D51">
        <f t="shared" si="6"/>
        <v>3.1110456039423029E-2</v>
      </c>
      <c r="E51">
        <f t="shared" si="6"/>
        <v>-1.7241627763602922</v>
      </c>
      <c r="F51">
        <f t="shared" si="6"/>
        <v>-0.70631202621131273</v>
      </c>
      <c r="G51">
        <f t="shared" si="6"/>
        <v>-1.1192686162717209</v>
      </c>
      <c r="H51">
        <f t="shared" si="6"/>
        <v>-0.97799399335625214</v>
      </c>
      <c r="I51">
        <f t="shared" si="6"/>
        <v>-0.12999560888975933</v>
      </c>
      <c r="J51">
        <f t="shared" si="6"/>
        <v>0.3702406582299772</v>
      </c>
      <c r="K51">
        <f t="shared" si="6"/>
        <v>0</v>
      </c>
      <c r="L51">
        <f t="shared" si="6"/>
        <v>-0.98909702416080902</v>
      </c>
      <c r="M51">
        <f t="shared" si="6"/>
        <v>-1.3096572537394831</v>
      </c>
    </row>
    <row r="52" spans="1:13" x14ac:dyDescent="0.25">
      <c r="A52">
        <v>9</v>
      </c>
      <c r="B52">
        <f t="shared" si="7"/>
        <v>1.3282148375075686E-19</v>
      </c>
      <c r="C52" s="1">
        <f>P25</f>
        <v>1.9326291006467062E-18</v>
      </c>
      <c r="D52">
        <f t="shared" si="6"/>
        <v>1.1060260651784379</v>
      </c>
      <c r="E52">
        <f t="shared" si="6"/>
        <v>-0.64924716722127729</v>
      </c>
      <c r="F52">
        <f t="shared" si="6"/>
        <v>0.36860358292770223</v>
      </c>
      <c r="G52">
        <f t="shared" si="6"/>
        <v>-4.4353007132705943E-2</v>
      </c>
      <c r="H52">
        <f t="shared" si="6"/>
        <v>9.6921615782762829E-2</v>
      </c>
      <c r="I52">
        <f t="shared" si="6"/>
        <v>0.85910141527104966</v>
      </c>
      <c r="J52">
        <f t="shared" si="6"/>
        <v>1.3593376823907861</v>
      </c>
      <c r="K52">
        <f t="shared" si="6"/>
        <v>0.98909702416080902</v>
      </c>
      <c r="L52">
        <f t="shared" si="6"/>
        <v>0</v>
      </c>
      <c r="M52">
        <f t="shared" si="6"/>
        <v>-0.32056022957867414</v>
      </c>
    </row>
    <row r="53" spans="1:13" x14ac:dyDescent="0.25">
      <c r="A53">
        <v>10</v>
      </c>
      <c r="B53">
        <f t="shared" si="7"/>
        <v>1.3282148375075686E-19</v>
      </c>
      <c r="C53" s="1">
        <f t="shared" ref="C53" si="8">P26</f>
        <v>1.9928424750011096E-18</v>
      </c>
      <c r="D53">
        <f t="shared" si="6"/>
        <v>1.4543995675005734</v>
      </c>
      <c r="E53">
        <f t="shared" si="6"/>
        <v>-0.30087366489914169</v>
      </c>
      <c r="F53">
        <f t="shared" si="6"/>
        <v>0.71697708524983783</v>
      </c>
      <c r="G53">
        <f t="shared" si="6"/>
        <v>0.30402049518942964</v>
      </c>
      <c r="H53">
        <f t="shared" si="6"/>
        <v>0.44529511810489841</v>
      </c>
      <c r="I53">
        <f t="shared" si="6"/>
        <v>1.1796616448497237</v>
      </c>
      <c r="J53">
        <f t="shared" si="6"/>
        <v>1.6798979119694604</v>
      </c>
      <c r="K53">
        <f t="shared" si="6"/>
        <v>1.3096572537394831</v>
      </c>
      <c r="L53">
        <f t="shared" si="6"/>
        <v>0.32056022957867414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40" priority="2" operator="greaterThan">
      <formula>1.96</formula>
    </cfRule>
  </conditionalFormatting>
  <conditionalFormatting sqref="D35:H39">
    <cfRule type="cellIs" dxfId="39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7" zoomScaleNormal="100" workbookViewId="0">
      <selection activeCell="D35" sqref="D35:H3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((G29+L29)/2)/B11</f>
        <v>6.8436093465139045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7" x14ac:dyDescent="0.25">
      <c r="A17" t="s">
        <v>23</v>
      </c>
      <c r="B17">
        <v>2.2400000000000002</v>
      </c>
      <c r="D17" t="s">
        <v>1</v>
      </c>
      <c r="E17" s="2">
        <f>E16/(1+$B$10/($B$7*B29))</f>
        <v>1.5912055773824733E-5</v>
      </c>
    </row>
    <row r="18" spans="1:17" x14ac:dyDescent="0.25">
      <c r="A18" t="s">
        <v>24</v>
      </c>
      <c r="B18">
        <v>20.5</v>
      </c>
      <c r="D18" t="s">
        <v>32</v>
      </c>
      <c r="E18" s="1">
        <f>B16/B5</f>
        <v>53701.211305518162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AVERAGE(I22:I26)</f>
        <v>3.3653583936536926E-4</v>
      </c>
      <c r="I19">
        <f>_xlfn.STDEV.S(I22:I26)</f>
        <v>3.0489244365127436E-5</v>
      </c>
      <c r="J19" s="1">
        <f>H19-2*I19</f>
        <v>2.7555735063511437E-4</v>
      </c>
      <c r="K19" s="1">
        <f>H19+2*I19</f>
        <v>3.9751432809562414E-4</v>
      </c>
      <c r="M19" t="s">
        <v>44</v>
      </c>
      <c r="N19" s="1">
        <f>AVERAGE(O22:O26)</f>
        <v>4.1153364578527492E-4</v>
      </c>
      <c r="O19">
        <f>_xlfn.STDEV.S(O22:O26)</f>
        <v>1.3366088036664231E-5</v>
      </c>
      <c r="P19" s="1">
        <f>N19-2*O19</f>
        <v>3.8480146971194647E-4</v>
      </c>
      <c r="Q19" s="1">
        <f>N19+2*O19</f>
        <v>4.3826582185860338E-4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I21" t="s">
        <v>20</v>
      </c>
      <c r="J21" t="s">
        <v>22</v>
      </c>
      <c r="M21" t="s">
        <v>38</v>
      </c>
      <c r="O21" t="s">
        <v>20</v>
      </c>
      <c r="P21" t="s">
        <v>22</v>
      </c>
    </row>
    <row r="22" spans="1:17" x14ac:dyDescent="0.25">
      <c r="A22">
        <v>1</v>
      </c>
      <c r="B22">
        <v>14.25</v>
      </c>
      <c r="C22" s="1">
        <f>B12/B22</f>
        <v>3.5087719298245611E-5</v>
      </c>
      <c r="D22">
        <f>(($B$10/(2*$B$7))^2+9*E16*C22/(2*$B$6*($B$9-$B$8)))^(1/2)-$B$10/(2*$B$7)</f>
        <v>5.4611714875011343E-7</v>
      </c>
      <c r="E22" s="1">
        <f>(D22+$B$10/(2*$B$7))^(-1)*9*E16/(2*$B$6*($B$9-$B$8))*1/2*C28</f>
        <v>1.5949297449759849E-8</v>
      </c>
      <c r="F22" s="1"/>
      <c r="G22">
        <v>70</v>
      </c>
      <c r="H22">
        <f>G22-B26</f>
        <v>1.4500000000000028</v>
      </c>
      <c r="I22" s="1">
        <f>$B$12/(G22-B26)</f>
        <v>3.4482758620689587E-4</v>
      </c>
      <c r="J22" s="1">
        <f>(4*PI()/3)*B29^3*($B$9-$B$8)*($B$6/E18)*(1+ABS(I22)/B28)</f>
        <v>1.1189148231522435E-18</v>
      </c>
      <c r="K22" s="1"/>
      <c r="M22">
        <v>77.22</v>
      </c>
      <c r="N22">
        <f>M22-G26</f>
        <v>1.1899999999999977</v>
      </c>
      <c r="O22" s="1">
        <f>B12/(M22-G26)</f>
        <v>4.2016806722689159E-4</v>
      </c>
      <c r="P22" s="1">
        <f>-(4*PI()/3)*B29^3*($B$9-$B$8)*($B$6/$E$18)*(1-ABS(O22)/B28)</f>
        <v>1.1236377043211503E-18</v>
      </c>
    </row>
    <row r="23" spans="1:17" x14ac:dyDescent="0.25">
      <c r="A23">
        <v>2</v>
      </c>
      <c r="B23">
        <v>28.09</v>
      </c>
      <c r="C23" s="1">
        <f>$B$12/(B23-B22)</f>
        <v>3.6127167630057806E-5</v>
      </c>
      <c r="D23">
        <f>(($B$10/(2*$B$7))^2+9*E16*C23/(2*$B$6*($B$9-$B$8)))^(1/2)-$B$10/(2*$B$7)</f>
        <v>5.5470150861517401E-7</v>
      </c>
      <c r="E23" s="1">
        <f>(D23+$B$10/(2*$B$7))^(-1)*9*E16/(2*$B$6*($B$9-$B$8))*1/2*C28</f>
        <v>1.5719252965455691E-8</v>
      </c>
      <c r="F23" s="1"/>
      <c r="G23">
        <v>71.44</v>
      </c>
      <c r="H23">
        <f>G23-G22</f>
        <v>1.4399999999999977</v>
      </c>
      <c r="I23" s="1">
        <f>$B$12/(G23-G22)</f>
        <v>3.4722222222222278E-4</v>
      </c>
      <c r="J23" s="1">
        <f>(4*PI()/3)*B29^3*($B$9-$B$8)*($B$6/E18)*(1+ABS(I23)/B28)</f>
        <v>1.1259345977410868E-18</v>
      </c>
      <c r="K23" s="1"/>
      <c r="M23">
        <v>78.39</v>
      </c>
      <c r="N23">
        <f>M23-M22</f>
        <v>1.1700000000000017</v>
      </c>
      <c r="O23" s="1">
        <f>$B$12/(M23-M22)</f>
        <v>4.2735042735042675E-4</v>
      </c>
      <c r="P23" s="1">
        <f>-(4*PI()/3)*B29^3*($B$9-$B$8)*($B$6/$E$18)*(1-ABS(O23)/B28)</f>
        <v>1.1446924904182479E-18</v>
      </c>
    </row>
    <row r="24" spans="1:17" x14ac:dyDescent="0.25">
      <c r="A24">
        <v>3</v>
      </c>
      <c r="B24">
        <v>39.75</v>
      </c>
      <c r="C24" s="1">
        <f t="shared" ref="C24:C26" si="0">$B$12/(B24-B23)</f>
        <v>4.2881646655231564E-5</v>
      </c>
      <c r="E24" s="1">
        <f>(D24+$B$10/(2*$B$7))^(-1)*9*E16/(2*$B$6*($B$9-$B$8))*1/2*C28</f>
        <v>2.3120770713424894E-7</v>
      </c>
      <c r="F24" s="1"/>
      <c r="G24">
        <v>72.97</v>
      </c>
      <c r="H24">
        <f>G24-G23</f>
        <v>1.5300000000000011</v>
      </c>
      <c r="I24" s="1">
        <f>$B$12/(G24-G23)</f>
        <v>3.2679738562091479E-4</v>
      </c>
      <c r="J24" s="1">
        <f>(4*PI()/3)*B29^3*($B$9-$B$8)*($B$6/E18)*(1+ABS(I24)/B28)</f>
        <v>1.0660600497774508E-18</v>
      </c>
      <c r="K24" s="1"/>
      <c r="M24">
        <v>79.63</v>
      </c>
      <c r="N24">
        <f>M24-M23</f>
        <v>1.2399999999999949</v>
      </c>
      <c r="O24" s="1">
        <f>$B$12/(M24-M23)</f>
        <v>4.0322580645161458E-4</v>
      </c>
      <c r="P24" s="1">
        <f>-(4*PI()/3)*B29^3*($B$9-$B$8)*($B$6/E18)*(1-ABS(O24)/B28)</f>
        <v>1.0739721806646824E-18</v>
      </c>
    </row>
    <row r="25" spans="1:17" x14ac:dyDescent="0.25">
      <c r="A25">
        <v>4</v>
      </c>
      <c r="B25">
        <v>55.67</v>
      </c>
      <c r="C25" s="1">
        <f t="shared" si="0"/>
        <v>3.1407035175879393E-5</v>
      </c>
      <c r="D25">
        <f>(($B$10/(2*$B$7))^2+9*E16*C25/(2*$B$6*($B$9-$B$8)))^(1/2)-$B$10/(2*$B$7)</f>
        <v>5.1465369588359087E-7</v>
      </c>
      <c r="E25" s="1">
        <f>(D25+$B$10/(2*$B$7))^(-1)*9*E16/(2*$B$6*($B$9-$B$8))*1/2*C28</f>
        <v>1.685328610716824E-8</v>
      </c>
      <c r="F25" s="1"/>
      <c r="G25">
        <v>74.31</v>
      </c>
      <c r="H25">
        <f>G25-G24</f>
        <v>1.3400000000000034</v>
      </c>
      <c r="I25" s="1">
        <f>$B$12/(G25-G24)</f>
        <v>3.7313432835820804E-4</v>
      </c>
      <c r="J25" s="1">
        <f>(4*PI()/3)*B29^3*($B$9-$B$8)*($B$6/E18)*(1+ABS(I25)/B28)</f>
        <v>1.2018948451576326E-18</v>
      </c>
      <c r="K25" s="1"/>
      <c r="M25">
        <v>80.900000000000006</v>
      </c>
      <c r="N25">
        <f>M25-M24</f>
        <v>1.2700000000000102</v>
      </c>
      <c r="O25" s="1">
        <f>$B$12/(M25-M24)</f>
        <v>3.9370078740157165E-4</v>
      </c>
      <c r="P25" s="1">
        <f>-(4*PI()/3)*B29^3*($B$9-$B$8)*($B$6/E18)*(1-ABS(O25)/B28)</f>
        <v>1.0460499886247314E-18</v>
      </c>
    </row>
    <row r="26" spans="1:17" x14ac:dyDescent="0.25">
      <c r="A26">
        <v>5</v>
      </c>
      <c r="B26">
        <v>68.55</v>
      </c>
      <c r="C26" s="1">
        <f t="shared" si="0"/>
        <v>3.8819875776397531E-5</v>
      </c>
      <c r="D26">
        <f>(($B$10/(2*$B$7))^2+9*E16*C26/(2*$B$6*($B$9-$B$8)))^(1/2)-$B$10/(2*$B$7)</f>
        <v>5.763840995723999E-7</v>
      </c>
      <c r="E26" s="1">
        <f>(D26+$B$10/(2*$B$7))^(-1)*9*E16/(2*$B$6*($B$9-$B$8))*1/2*C28</f>
        <v>1.5166711402717328E-8</v>
      </c>
      <c r="F26" s="1"/>
      <c r="G26">
        <v>76.03</v>
      </c>
      <c r="H26">
        <f>G26-G25</f>
        <v>1.7199999999999989</v>
      </c>
      <c r="I26" s="1">
        <f>$B$12/(G26-G25)</f>
        <v>2.9069767441860486E-4</v>
      </c>
      <c r="J26" s="1">
        <f>(4*PI()/3)*B29^3*($B$9-$B$8)*($B$6/E18)*(1+ABS(I26)/B28)</f>
        <v>9.6023526733009988E-19</v>
      </c>
      <c r="K26" s="1"/>
      <c r="M26">
        <v>82.11</v>
      </c>
      <c r="N26">
        <f>M26-M25</f>
        <v>1.2099999999999937</v>
      </c>
      <c r="O26" s="1">
        <f>$B$12/(M26-M25)</f>
        <v>4.1322314049586993E-4</v>
      </c>
      <c r="P26" s="1">
        <f>-(4*PI()/3)*B29^3*($B$9-$B$8)*($B$6/E18)*(1-ABS(O26)/B28)</f>
        <v>1.1032789442107331E-18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L27" s="1" t="s">
        <v>28</v>
      </c>
      <c r="M27" s="1" t="s">
        <v>29</v>
      </c>
      <c r="N27" t="s">
        <v>34</v>
      </c>
    </row>
    <row r="28" spans="1:17" x14ac:dyDescent="0.25">
      <c r="A28" t="s">
        <v>27</v>
      </c>
      <c r="B28" s="1">
        <f>AVERAGE(C22:C26)</f>
        <v>3.686468890716238E-5</v>
      </c>
      <c r="C28" s="1">
        <f>_xlfn.STDEV.S(C22:C26)/SQRT(COUNT(C22:C26))</f>
        <v>1.9172125483558443E-6</v>
      </c>
      <c r="F28" t="str">
        <f>J28</f>
        <v>Velocità</v>
      </c>
      <c r="G28" s="1">
        <f>AVERAGE(I22:I26)</f>
        <v>3.3653583936536926E-4</v>
      </c>
      <c r="H28" s="1">
        <f>_xlfn.STDEV.S(I22:I26)</f>
        <v>3.0489244365127436E-5</v>
      </c>
      <c r="I28" s="2">
        <f>H28/SQRT(5)</f>
        <v>1.3635204596605473E-5</v>
      </c>
      <c r="J28" t="s">
        <v>27</v>
      </c>
      <c r="L28" s="1">
        <f>AVERAGE(O22:O26)</f>
        <v>4.1153364578527492E-4</v>
      </c>
      <c r="M28" s="1">
        <f>_xlfn.STDEV.S(O22:O26)</f>
        <v>1.3366088036664231E-5</v>
      </c>
      <c r="N28" s="2">
        <f>M28/SQRT(5)</f>
        <v>5.977496288645584E-6</v>
      </c>
    </row>
    <row r="29" spans="1:17" x14ac:dyDescent="0.25">
      <c r="A29" t="s">
        <v>5</v>
      </c>
      <c r="B29">
        <f>AVERAGE(D22:D26)</f>
        <v>5.4796411320531955E-7</v>
      </c>
      <c r="C29">
        <f>_xlfn.STDEV.S(D22:D26)/SQRT(COUNT(D22:D26))</f>
        <v>1.280001074823858E-8</v>
      </c>
      <c r="D29" s="1">
        <f>(B29+$B$10/(2*$B$7))^(-1)*9*E16/(2*$B$6*($B$9-$B$8))*1/2*C28</f>
        <v>1.5899235611913559E-8</v>
      </c>
      <c r="F29" t="str">
        <f>J29</f>
        <v>Carica</v>
      </c>
      <c r="G29">
        <f>AVERAGE(J22:J26)</f>
        <v>1.0946079166317026E-18</v>
      </c>
      <c r="H29">
        <f>_xlfn.STDEV.S(J22:J26)</f>
        <v>8.9377935292659038E-20</v>
      </c>
      <c r="I29" s="2">
        <f>H29/SQRT(5)</f>
        <v>3.997102780059263E-20</v>
      </c>
      <c r="J29" t="s">
        <v>33</v>
      </c>
      <c r="L29">
        <f>AVERAGE(P22:P26)</f>
        <v>1.098326261647909E-18</v>
      </c>
      <c r="M29">
        <f>_xlfn.STDEV.S(P22:P26)</f>
        <v>3.9182123943463205E-20</v>
      </c>
      <c r="N29" s="2">
        <f>M29/SQRT(5)</f>
        <v>1.752277852808117E-20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  <c r="L32" t="s">
        <v>40</v>
      </c>
      <c r="M32" t="s">
        <v>41</v>
      </c>
      <c r="N32" t="s">
        <v>42</v>
      </c>
      <c r="O32" t="s">
        <v>43</v>
      </c>
    </row>
    <row r="33" spans="1:15" x14ac:dyDescent="0.25">
      <c r="B33" t="s">
        <v>26</v>
      </c>
      <c r="D33">
        <f t="array" ref="D33:H34">TRANSPOSE(B35:C39)</f>
        <v>1.5949297449759849E-8</v>
      </c>
      <c r="E33">
        <v>1.5719252965455691E-8</v>
      </c>
      <c r="F33">
        <v>2.3120770713424894E-7</v>
      </c>
      <c r="G33">
        <v>1.685328610716824E-8</v>
      </c>
      <c r="H33">
        <v>1.5166711402717328E-8</v>
      </c>
      <c r="K33" t="s">
        <v>39</v>
      </c>
      <c r="L33">
        <f>AVERAGE(H22:H26,N22:N26)</f>
        <v>1.3560000000000003</v>
      </c>
      <c r="M33">
        <f>_xlfn.STDEV.P(H22:H26,N22:N26)</f>
        <v>0.16829735589129077</v>
      </c>
      <c r="N33">
        <f>L33+1.96*M33</f>
        <v>1.6858628175469303</v>
      </c>
      <c r="O33">
        <f>L33-1.96*M33</f>
        <v>1.0261371824530703</v>
      </c>
    </row>
    <row r="34" spans="1:15" x14ac:dyDescent="0.25">
      <c r="C34" t="s">
        <v>21</v>
      </c>
      <c r="D34">
        <v>5.4611714875011343E-7</v>
      </c>
      <c r="E34">
        <v>5.5470150861517401E-7</v>
      </c>
      <c r="F34">
        <v>0</v>
      </c>
      <c r="G34">
        <v>5.1465369588359087E-7</v>
      </c>
      <c r="H34">
        <v>5.763840995723999E-7</v>
      </c>
    </row>
    <row r="35" spans="1:15" x14ac:dyDescent="0.25">
      <c r="A35">
        <v>1</v>
      </c>
      <c r="B35" s="1">
        <f>E22</f>
        <v>1.5949297449759849E-8</v>
      </c>
      <c r="C35">
        <f>D22</f>
        <v>5.4611714875011343E-7</v>
      </c>
      <c r="D35">
        <f t="shared" ref="D35:H39" si="1">($C35-D$34)/SQRT($B35^2+D$33^2)</f>
        <v>0</v>
      </c>
      <c r="E35">
        <f t="shared" si="1"/>
        <v>-0.38333923392650926</v>
      </c>
      <c r="F35">
        <f t="shared" si="1"/>
        <v>2.3564196892199902</v>
      </c>
      <c r="G35">
        <f t="shared" si="1"/>
        <v>1.3559649845637249</v>
      </c>
      <c r="H35">
        <f t="shared" si="1"/>
        <v>-1.3751892507813532</v>
      </c>
    </row>
    <row r="36" spans="1:15" x14ac:dyDescent="0.25">
      <c r="A36">
        <v>2</v>
      </c>
      <c r="B36">
        <f>E23</f>
        <v>1.5719252965455691E-8</v>
      </c>
      <c r="C36">
        <f>D23</f>
        <v>5.5470150861517401E-7</v>
      </c>
      <c r="D36">
        <f t="shared" si="1"/>
        <v>0.38333923392650926</v>
      </c>
      <c r="E36">
        <f t="shared" si="1"/>
        <v>0</v>
      </c>
      <c r="F36">
        <f t="shared" si="1"/>
        <v>2.3936223461218233</v>
      </c>
      <c r="G36">
        <f t="shared" si="1"/>
        <v>1.7377173402129065</v>
      </c>
      <c r="H36">
        <f t="shared" si="1"/>
        <v>-0.99264857493779812</v>
      </c>
    </row>
    <row r="37" spans="1:15" x14ac:dyDescent="0.25">
      <c r="A37">
        <v>3</v>
      </c>
      <c r="B37">
        <f>E24</f>
        <v>2.3120770713424894E-7</v>
      </c>
      <c r="C37">
        <f>D24</f>
        <v>0</v>
      </c>
      <c r="D37">
        <f t="shared" si="1"/>
        <v>-2.3564196892199902</v>
      </c>
      <c r="E37">
        <f t="shared" si="1"/>
        <v>-2.3936223461218233</v>
      </c>
      <c r="F37">
        <f t="shared" si="1"/>
        <v>0</v>
      </c>
      <c r="G37">
        <f t="shared" si="1"/>
        <v>-2.220046516751633</v>
      </c>
      <c r="H37">
        <f t="shared" si="1"/>
        <v>-2.4875813378334288</v>
      </c>
    </row>
    <row r="38" spans="1:15" x14ac:dyDescent="0.25">
      <c r="A38">
        <v>4</v>
      </c>
      <c r="B38">
        <f>E25</f>
        <v>1.685328610716824E-8</v>
      </c>
      <c r="C38">
        <f>D25</f>
        <v>5.1465369588359087E-7</v>
      </c>
      <c r="D38">
        <f t="shared" si="1"/>
        <v>-1.3559649845637249</v>
      </c>
      <c r="E38">
        <f t="shared" si="1"/>
        <v>-1.7377173402129065</v>
      </c>
      <c r="F38">
        <f t="shared" si="1"/>
        <v>2.220046516751633</v>
      </c>
      <c r="G38">
        <f t="shared" si="1"/>
        <v>0</v>
      </c>
      <c r="H38">
        <f t="shared" si="1"/>
        <v>-2.7226461558555304</v>
      </c>
    </row>
    <row r="39" spans="1:15" x14ac:dyDescent="0.25">
      <c r="A39">
        <v>5</v>
      </c>
      <c r="B39">
        <f>E26</f>
        <v>1.5166711402717328E-8</v>
      </c>
      <c r="C39">
        <f>D26</f>
        <v>5.763840995723999E-7</v>
      </c>
      <c r="D39">
        <f t="shared" si="1"/>
        <v>1.3751892507813532</v>
      </c>
      <c r="E39">
        <f t="shared" si="1"/>
        <v>0.99264857493779812</v>
      </c>
      <c r="F39">
        <f t="shared" si="1"/>
        <v>2.4875813378334288</v>
      </c>
      <c r="G39">
        <f t="shared" si="1"/>
        <v>2.7226461558555304</v>
      </c>
      <c r="H39">
        <f t="shared" si="1"/>
        <v>0</v>
      </c>
    </row>
    <row r="41" spans="1:15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5" x14ac:dyDescent="0.25">
      <c r="B42" t="s">
        <v>26</v>
      </c>
      <c r="D42">
        <v>8.9377935292659038E-20</v>
      </c>
      <c r="E42">
        <v>8.9377935292659038E-20</v>
      </c>
      <c r="F42">
        <v>8.9377935292659038E-20</v>
      </c>
      <c r="G42">
        <v>8.9377935292659038E-20</v>
      </c>
      <c r="H42">
        <v>8.9377935292659038E-20</v>
      </c>
      <c r="I42">
        <v>3.9182123943463205E-20</v>
      </c>
      <c r="J42">
        <v>3.9182123943463205E-20</v>
      </c>
      <c r="K42">
        <v>3.9182123943463205E-20</v>
      </c>
      <c r="L42">
        <v>3.9182123943463205E-20</v>
      </c>
      <c r="M42">
        <v>3.9182123943463205E-20</v>
      </c>
    </row>
    <row r="43" spans="1:15" x14ac:dyDescent="0.25">
      <c r="C43" t="s">
        <v>35</v>
      </c>
      <c r="D43">
        <v>1.1189148231522435E-18</v>
      </c>
      <c r="E43">
        <v>1.1259345977410868E-18</v>
      </c>
      <c r="F43">
        <v>1.0660600497774508E-18</v>
      </c>
      <c r="G43">
        <v>1.2018948451576326E-18</v>
      </c>
      <c r="H43">
        <v>9.6023526733009988E-19</v>
      </c>
      <c r="I43">
        <v>1.1236377043211503E-18</v>
      </c>
      <c r="J43">
        <v>1.1446924904182479E-18</v>
      </c>
      <c r="K43">
        <v>1.0739721806646824E-18</v>
      </c>
      <c r="L43">
        <v>1.0460499886247314E-18</v>
      </c>
      <c r="M43">
        <v>1.1032789442107331E-18</v>
      </c>
    </row>
    <row r="44" spans="1:15" x14ac:dyDescent="0.25">
      <c r="A44">
        <v>1</v>
      </c>
      <c r="B44">
        <f>$H$29</f>
        <v>8.9377935292659038E-20</v>
      </c>
      <c r="C44" s="1">
        <f>J22</f>
        <v>1.1189148231522435E-18</v>
      </c>
      <c r="D44">
        <f>($C44-D$43)/SQRT($B44^2+D$42^2)</f>
        <v>0</v>
      </c>
      <c r="E44">
        <f t="shared" ref="E44:M44" si="2">($C44-E$43)/SQRT($B44^2+E$42^2)</f>
        <v>-5.5536416207410871E-2</v>
      </c>
      <c r="F44">
        <f t="shared" si="2"/>
        <v>0.41815654556146048</v>
      </c>
      <c r="G44">
        <f t="shared" si="2"/>
        <v>-0.65649017367532403</v>
      </c>
      <c r="H44">
        <f t="shared" si="2"/>
        <v>1.2553813151994209</v>
      </c>
      <c r="I44">
        <f t="shared" si="2"/>
        <v>-4.8395525571318987E-2</v>
      </c>
      <c r="J44">
        <f t="shared" si="2"/>
        <v>-0.2641446419516072</v>
      </c>
      <c r="K44">
        <f t="shared" si="2"/>
        <v>0.46052880137419661</v>
      </c>
      <c r="L44">
        <f t="shared" si="2"/>
        <v>0.74664846235002424</v>
      </c>
      <c r="M44">
        <f t="shared" si="2"/>
        <v>0.16022138861458329</v>
      </c>
    </row>
    <row r="45" spans="1:15" x14ac:dyDescent="0.25">
      <c r="A45">
        <v>2</v>
      </c>
      <c r="B45">
        <f t="shared" ref="B45:B48" si="3">$H$29</f>
        <v>8.9377935292659038E-20</v>
      </c>
      <c r="C45" s="1">
        <f>J23</f>
        <v>1.1259345977410868E-18</v>
      </c>
      <c r="D45">
        <f t="shared" ref="D45:M53" si="4">($C45-D$43)/SQRT($B45^2+D$42^2)</f>
        <v>5.5536416207410871E-2</v>
      </c>
      <c r="E45">
        <f t="shared" si="4"/>
        <v>0</v>
      </c>
      <c r="F45">
        <f t="shared" si="4"/>
        <v>0.47369296176887138</v>
      </c>
      <c r="G45">
        <f t="shared" si="4"/>
        <v>-0.60095375746791324</v>
      </c>
      <c r="H45">
        <f t="shared" si="4"/>
        <v>1.3109177314068319</v>
      </c>
      <c r="I45">
        <f t="shared" si="4"/>
        <v>2.3536345773625539E-2</v>
      </c>
      <c r="J45">
        <f t="shared" si="4"/>
        <v>-0.19221277060666267</v>
      </c>
      <c r="K45">
        <f t="shared" si="4"/>
        <v>0.5324606727191411</v>
      </c>
      <c r="L45">
        <f t="shared" si="4"/>
        <v>0.81858033369496885</v>
      </c>
      <c r="M45">
        <f t="shared" si="4"/>
        <v>0.23215325995952782</v>
      </c>
    </row>
    <row r="46" spans="1:15" x14ac:dyDescent="0.25">
      <c r="A46">
        <v>3</v>
      </c>
      <c r="B46">
        <f t="shared" si="3"/>
        <v>8.9377935292659038E-20</v>
      </c>
      <c r="C46" s="1">
        <f>J24</f>
        <v>1.0660600497774508E-18</v>
      </c>
      <c r="D46">
        <f t="shared" si="4"/>
        <v>-0.41815654556146048</v>
      </c>
      <c r="E46">
        <f t="shared" si="4"/>
        <v>-0.47369296176887138</v>
      </c>
      <c r="F46">
        <f t="shared" si="4"/>
        <v>0</v>
      </c>
      <c r="G46">
        <f t="shared" si="4"/>
        <v>-1.0746467192367846</v>
      </c>
      <c r="H46">
        <f t="shared" si="4"/>
        <v>0.83722476963796044</v>
      </c>
      <c r="I46">
        <f t="shared" si="4"/>
        <v>-0.59000020393296748</v>
      </c>
      <c r="J46">
        <f t="shared" si="4"/>
        <v>-0.80574932031325563</v>
      </c>
      <c r="K46">
        <f t="shared" si="4"/>
        <v>-8.1075876987451875E-2</v>
      </c>
      <c r="L46">
        <f t="shared" si="4"/>
        <v>0.20504378398837581</v>
      </c>
      <c r="M46">
        <f t="shared" si="4"/>
        <v>-0.3813832897470652</v>
      </c>
    </row>
    <row r="47" spans="1:15" x14ac:dyDescent="0.25">
      <c r="A47">
        <v>4</v>
      </c>
      <c r="B47">
        <f t="shared" si="3"/>
        <v>8.9377935292659038E-20</v>
      </c>
      <c r="C47" s="1">
        <f>J25</f>
        <v>1.2018948451576326E-18</v>
      </c>
      <c r="D47">
        <f t="shared" si="4"/>
        <v>0.65649017367532403</v>
      </c>
      <c r="E47">
        <f t="shared" si="4"/>
        <v>0.60095375746791324</v>
      </c>
      <c r="F47">
        <f t="shared" si="4"/>
        <v>1.0746467192367846</v>
      </c>
      <c r="G47">
        <f t="shared" si="4"/>
        <v>0</v>
      </c>
      <c r="H47">
        <f t="shared" si="4"/>
        <v>1.911871488874745</v>
      </c>
      <c r="I47">
        <f t="shared" si="4"/>
        <v>0.80190361032669089</v>
      </c>
      <c r="J47">
        <f t="shared" si="4"/>
        <v>0.58615449394640273</v>
      </c>
      <c r="K47">
        <f t="shared" si="4"/>
        <v>1.3108279372722065</v>
      </c>
      <c r="L47">
        <f t="shared" si="4"/>
        <v>1.5969475982480341</v>
      </c>
      <c r="M47">
        <f t="shared" si="4"/>
        <v>1.0105205245125932</v>
      </c>
    </row>
    <row r="48" spans="1:15" x14ac:dyDescent="0.25">
      <c r="A48">
        <v>5</v>
      </c>
      <c r="B48">
        <f t="shared" si="3"/>
        <v>8.9377935292659038E-20</v>
      </c>
      <c r="C48" s="1">
        <f>J26</f>
        <v>9.6023526733009988E-19</v>
      </c>
      <c r="D48">
        <f t="shared" si="4"/>
        <v>-1.2553813151994209</v>
      </c>
      <c r="E48">
        <f t="shared" si="4"/>
        <v>-1.3109177314068319</v>
      </c>
      <c r="F48">
        <f t="shared" si="4"/>
        <v>-0.83722476963796044</v>
      </c>
      <c r="G48">
        <f t="shared" si="4"/>
        <v>-1.911871488874745</v>
      </c>
      <c r="H48">
        <f t="shared" si="4"/>
        <v>0</v>
      </c>
      <c r="I48">
        <f t="shared" si="4"/>
        <v>-1.6743903848096786</v>
      </c>
      <c r="J48">
        <f t="shared" si="4"/>
        <v>-1.8901395011899667</v>
      </c>
      <c r="K48">
        <f t="shared" si="4"/>
        <v>-1.1654660578641629</v>
      </c>
      <c r="L48">
        <f t="shared" si="4"/>
        <v>-0.87934639688833527</v>
      </c>
      <c r="M48">
        <f t="shared" si="4"/>
        <v>-1.4657734706237762</v>
      </c>
    </row>
    <row r="49" spans="1:13" x14ac:dyDescent="0.25">
      <c r="A49">
        <v>6</v>
      </c>
      <c r="B49">
        <f>$M$29</f>
        <v>3.9182123943463205E-20</v>
      </c>
      <c r="C49" s="1">
        <f>P22</f>
        <v>1.1236377043211503E-18</v>
      </c>
      <c r="D49">
        <f t="shared" si="4"/>
        <v>4.8395525571318987E-2</v>
      </c>
      <c r="E49">
        <f t="shared" si="4"/>
        <v>-2.3536345773625539E-2</v>
      </c>
      <c r="F49">
        <f t="shared" si="4"/>
        <v>0.59000020393296748</v>
      </c>
      <c r="G49">
        <f t="shared" si="4"/>
        <v>-0.80190361032669089</v>
      </c>
      <c r="H49">
        <f t="shared" si="4"/>
        <v>1.6743903848096786</v>
      </c>
      <c r="I49">
        <f t="shared" si="4"/>
        <v>0</v>
      </c>
      <c r="J49">
        <f t="shared" si="4"/>
        <v>-0.37996873388416158</v>
      </c>
      <c r="K49">
        <f t="shared" si="4"/>
        <v>0.89629721500914694</v>
      </c>
      <c r="L49">
        <f t="shared" si="4"/>
        <v>1.4001997437626024</v>
      </c>
      <c r="M49">
        <f t="shared" si="4"/>
        <v>0.36740778400370006</v>
      </c>
    </row>
    <row r="50" spans="1:13" x14ac:dyDescent="0.25">
      <c r="A50">
        <v>7</v>
      </c>
      <c r="B50">
        <f t="shared" ref="B50:B53" si="5">$M$29</f>
        <v>3.9182123943463205E-20</v>
      </c>
      <c r="C50" s="1">
        <f t="shared" ref="C50:C53" si="6">P23</f>
        <v>1.1446924904182479E-18</v>
      </c>
      <c r="D50">
        <f t="shared" si="4"/>
        <v>0.2641446419516072</v>
      </c>
      <c r="E50">
        <f t="shared" si="4"/>
        <v>0.19221277060666267</v>
      </c>
      <c r="F50">
        <f t="shared" si="4"/>
        <v>0.80574932031325563</v>
      </c>
      <c r="G50">
        <f t="shared" si="4"/>
        <v>-0.58615449394640273</v>
      </c>
      <c r="H50">
        <f t="shared" si="4"/>
        <v>1.8901395011899667</v>
      </c>
      <c r="I50">
        <f t="shared" si="4"/>
        <v>0.37996873388416158</v>
      </c>
      <c r="J50">
        <f t="shared" si="4"/>
        <v>0</v>
      </c>
      <c r="K50">
        <f t="shared" si="4"/>
        <v>1.2762659488933086</v>
      </c>
      <c r="L50">
        <f t="shared" si="4"/>
        <v>1.7801684776467641</v>
      </c>
      <c r="M50">
        <f t="shared" si="4"/>
        <v>0.74737651788786164</v>
      </c>
    </row>
    <row r="51" spans="1:13" x14ac:dyDescent="0.25">
      <c r="A51">
        <v>8</v>
      </c>
      <c r="B51">
        <f t="shared" si="5"/>
        <v>3.9182123943463205E-20</v>
      </c>
      <c r="C51" s="1">
        <f t="shared" si="6"/>
        <v>1.0739721806646824E-18</v>
      </c>
      <c r="D51">
        <f t="shared" si="4"/>
        <v>-0.46052880137419661</v>
      </c>
      <c r="E51">
        <f t="shared" si="4"/>
        <v>-0.5324606727191411</v>
      </c>
      <c r="F51">
        <f t="shared" si="4"/>
        <v>8.1075876987451875E-2</v>
      </c>
      <c r="G51">
        <f t="shared" si="4"/>
        <v>-1.3108279372722065</v>
      </c>
      <c r="H51">
        <f t="shared" si="4"/>
        <v>1.1654660578641629</v>
      </c>
      <c r="I51">
        <f t="shared" si="4"/>
        <v>-0.89629721500914694</v>
      </c>
      <c r="J51">
        <f t="shared" si="4"/>
        <v>-1.2762659488933086</v>
      </c>
      <c r="K51">
        <f t="shared" si="4"/>
        <v>0</v>
      </c>
      <c r="L51">
        <f t="shared" si="4"/>
        <v>0.50390252875345554</v>
      </c>
      <c r="M51">
        <f t="shared" si="4"/>
        <v>-0.52888943100544694</v>
      </c>
    </row>
    <row r="52" spans="1:13" x14ac:dyDescent="0.25">
      <c r="A52">
        <v>9</v>
      </c>
      <c r="B52">
        <f t="shared" si="5"/>
        <v>3.9182123943463205E-20</v>
      </c>
      <c r="C52" s="1">
        <f t="shared" si="6"/>
        <v>1.0460499886247314E-18</v>
      </c>
      <c r="D52">
        <f t="shared" si="4"/>
        <v>-0.74664846235002424</v>
      </c>
      <c r="E52">
        <f t="shared" si="4"/>
        <v>-0.81858033369496885</v>
      </c>
      <c r="F52">
        <f t="shared" si="4"/>
        <v>-0.20504378398837581</v>
      </c>
      <c r="G52">
        <f t="shared" si="4"/>
        <v>-1.5969475982480341</v>
      </c>
      <c r="H52">
        <f t="shared" si="4"/>
        <v>0.87934639688833527</v>
      </c>
      <c r="I52">
        <f t="shared" si="4"/>
        <v>-1.4001997437626024</v>
      </c>
      <c r="J52">
        <f t="shared" si="4"/>
        <v>-1.7801684776467641</v>
      </c>
      <c r="K52">
        <f t="shared" si="4"/>
        <v>-0.50390252875345554</v>
      </c>
      <c r="L52">
        <f t="shared" si="4"/>
        <v>0</v>
      </c>
      <c r="M52">
        <f t="shared" si="4"/>
        <v>-1.0327919597589024</v>
      </c>
    </row>
    <row r="53" spans="1:13" x14ac:dyDescent="0.25">
      <c r="A53">
        <v>10</v>
      </c>
      <c r="B53">
        <f t="shared" si="5"/>
        <v>3.9182123943463205E-20</v>
      </c>
      <c r="C53" s="1">
        <f t="shared" si="6"/>
        <v>1.1032789442107331E-18</v>
      </c>
      <c r="D53">
        <f t="shared" si="4"/>
        <v>-0.16022138861458329</v>
      </c>
      <c r="E53">
        <f t="shared" si="4"/>
        <v>-0.23215325995952782</v>
      </c>
      <c r="F53">
        <f t="shared" si="4"/>
        <v>0.3813832897470652</v>
      </c>
      <c r="G53">
        <f t="shared" si="4"/>
        <v>-1.0105205245125932</v>
      </c>
      <c r="H53">
        <f t="shared" si="4"/>
        <v>1.4657734706237762</v>
      </c>
      <c r="I53">
        <f t="shared" si="4"/>
        <v>-0.36740778400370006</v>
      </c>
      <c r="J53">
        <f t="shared" si="4"/>
        <v>-0.74737651788786164</v>
      </c>
      <c r="K53">
        <f t="shared" si="4"/>
        <v>0.52888943100544694</v>
      </c>
      <c r="L53">
        <f t="shared" si="4"/>
        <v>1.0327919597589024</v>
      </c>
      <c r="M53">
        <f t="shared" si="4"/>
        <v>0</v>
      </c>
    </row>
  </sheetData>
  <mergeCells count="2">
    <mergeCell ref="A1:C2"/>
    <mergeCell ref="A14:C15"/>
  </mergeCells>
  <conditionalFormatting sqref="D44:M53">
    <cfRule type="cellIs" dxfId="38" priority="7" operator="greaterThan">
      <formula>1.96</formula>
    </cfRule>
  </conditionalFormatting>
  <conditionalFormatting sqref="D35:H35">
    <cfRule type="cellIs" dxfId="37" priority="5" operator="notBetween">
      <formula>-1.96</formula>
      <formula>1.96</formula>
    </cfRule>
  </conditionalFormatting>
  <conditionalFormatting sqref="D36:H40">
    <cfRule type="cellIs" dxfId="36" priority="6" operator="notBetween">
      <formula>-1.96</formula>
      <formula>1.96</formula>
    </cfRule>
  </conditionalFormatting>
  <conditionalFormatting sqref="N22:N26">
    <cfRule type="cellIs" dxfId="35" priority="3" operator="notBetween">
      <formula>$O$33</formula>
      <formula>$N$33</formula>
    </cfRule>
  </conditionalFormatting>
  <conditionalFormatting sqref="I22:I26">
    <cfRule type="cellIs" dxfId="34" priority="1" operator="notBetween">
      <formula>$J$19</formula>
      <formula>$K$19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0" zoomScaleNormal="100" workbookViewId="0">
      <selection activeCell="N22" sqref="N22:N26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9.2504431304296659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4" x14ac:dyDescent="0.25">
      <c r="A17" t="s">
        <v>23</v>
      </c>
      <c r="B17">
        <v>2.23</v>
      </c>
      <c r="D17" t="s">
        <v>1</v>
      </c>
      <c r="E17" s="2">
        <f>E16/(1+$B$10/($B$7*B29))</f>
        <v>1.6460147478809423E-5</v>
      </c>
    </row>
    <row r="18" spans="1:14" x14ac:dyDescent="0.2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4" x14ac:dyDescent="0.25">
      <c r="A20" t="s">
        <v>7</v>
      </c>
      <c r="B20">
        <v>1</v>
      </c>
    </row>
    <row r="21" spans="1:14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4" x14ac:dyDescent="0.25">
      <c r="A22">
        <v>1</v>
      </c>
      <c r="B22">
        <v>7.45</v>
      </c>
      <c r="C22" s="1">
        <f>B12/B22</f>
        <v>6.7114093959731537E-5</v>
      </c>
      <c r="E22" s="1">
        <f>(D22+$B$10/(2*$B$7))^(-1)*9*E16/(2*$B$6*($B$9-$B$8))*1/2*C28</f>
        <v>1.3359221936203376E-7</v>
      </c>
      <c r="F22" s="1"/>
      <c r="G22">
        <v>41.48</v>
      </c>
      <c r="H22" s="1">
        <f>$B$12/(G22-B26)</f>
        <v>2.7322404371584727E-4</v>
      </c>
      <c r="I22" s="1">
        <f>(4*PI()/3)*B29^3*($B$9-$B$8)*($B$6/E18)*(1+ABS(H22)/B28)</f>
        <v>1.4138182165588293E-18</v>
      </c>
      <c r="J22" s="14">
        <f>I22/$B$11</f>
        <v>8.8243593053981098</v>
      </c>
      <c r="K22">
        <v>49.91</v>
      </c>
      <c r="L22" s="1">
        <f>B12/(K22-G26)</f>
        <v>3.9062500000000181E-4</v>
      </c>
      <c r="M22" s="1">
        <f>-(4*PI()/3)*B29^3*($B$9-$B$8)*($B$6/$E$18)*(1-ABS(L22)/B28)</f>
        <v>1.376601071800616E-18</v>
      </c>
      <c r="N22" s="14">
        <f>M22/$B$11</f>
        <v>8.592068156634415</v>
      </c>
    </row>
    <row r="23" spans="1:14" x14ac:dyDescent="0.25">
      <c r="A23">
        <v>2</v>
      </c>
      <c r="B23">
        <v>15.5</v>
      </c>
      <c r="C23" s="1">
        <f>$B$12/(B23-B22)</f>
        <v>6.2111801242236027E-5</v>
      </c>
      <c r="D23">
        <f>(($B$10/(2*$B$7))^2+9*E16*C23/(2*$B$6*($B$9-$B$8)))^(1/2)-$B$10/(2*$B$7)</f>
        <v>7.391641614088526E-7</v>
      </c>
      <c r="E23" s="1">
        <f>(D23+$B$10/(2*$B$7))^(-1)*9*E16/(2*$B$6*($B$9-$B$8))*1/2*C28</f>
        <v>6.9336349448381776E-9</v>
      </c>
      <c r="F23" s="1"/>
      <c r="G23">
        <v>42.96</v>
      </c>
      <c r="H23" s="1">
        <f>$B$12/(G23-G22)</f>
        <v>3.3783783783783694E-4</v>
      </c>
      <c r="I23" s="1">
        <f>(4*PI()/3)*B29^3*($B$9-$B$8)*($B$6/E18)*(1+ABS(H23)/B28)</f>
        <v>1.6854154706617678E-18</v>
      </c>
      <c r="J23" s="14">
        <f t="shared" ref="J23:J26" si="0">I23/$B$11</f>
        <v>10.519536046292872</v>
      </c>
      <c r="K23">
        <v>50.91</v>
      </c>
      <c r="L23" s="1">
        <f>$B$12/(K23-K22)</f>
        <v>5.0000000000000001E-4</v>
      </c>
      <c r="M23" s="1">
        <f>-(4*PI()/3)*B29^3*($B$9-$B$8)*($B$6/$E$18)*(1-ABS(L23)/B28)</f>
        <v>1.8363473236833661E-18</v>
      </c>
      <c r="N23" s="14">
        <f t="shared" ref="N23:N26" si="1">M23/$B$11</f>
        <v>11.46157858478403</v>
      </c>
    </row>
    <row r="24" spans="1:14" x14ac:dyDescent="0.25">
      <c r="A24">
        <v>3</v>
      </c>
      <c r="B24">
        <v>23.41</v>
      </c>
      <c r="C24" s="1">
        <f t="shared" ref="C24:C26" si="2">$B$12/(B24-B23)</f>
        <v>6.321112515802781E-5</v>
      </c>
      <c r="D24">
        <f>(($B$10/(2*$B$7))^2+9*E16*C24/(2*$B$6*($B$9-$B$8)))^(1/2)-$B$10/(2*$B$7)</f>
        <v>7.4601484027587871E-7</v>
      </c>
      <c r="E24" s="1">
        <f>(D24+$B$10/(2*$B$7))^(-1)*9*E16/(2*$B$6*($B$9-$B$8))*1/2*C28</f>
        <v>6.873239022179503E-9</v>
      </c>
      <c r="F24" s="1"/>
      <c r="G24">
        <v>44.81</v>
      </c>
      <c r="H24" s="1">
        <f>$B$12/(G24-G23)</f>
        <v>2.7027027027027006E-4</v>
      </c>
      <c r="I24" s="1">
        <f>(4*PI()/3)*B29^3*($B$9-$B$8)*($B$6/E18)*(1+ABS(H24)/B28)</f>
        <v>1.4014023420855498E-18</v>
      </c>
      <c r="J24" s="14">
        <f t="shared" si="0"/>
        <v>8.7468655115286218</v>
      </c>
      <c r="K24">
        <v>51.89</v>
      </c>
      <c r="L24" s="1">
        <f>$B$12/(K24-K23)</f>
        <v>5.1020408163265105E-4</v>
      </c>
      <c r="M24" s="1">
        <f>-(4*PI()/3)*B29^3*($B$9-$B$8)*($B$6/E18)*(1-ABS(L24)/B28)</f>
        <v>1.8792391022846643E-18</v>
      </c>
      <c r="N24" s="14">
        <f t="shared" si="1"/>
        <v>11.729288012483069</v>
      </c>
    </row>
    <row r="25" spans="1:14" x14ac:dyDescent="0.25">
      <c r="A25">
        <v>4</v>
      </c>
      <c r="B25">
        <v>31.37</v>
      </c>
      <c r="C25" s="1">
        <f t="shared" si="2"/>
        <v>6.2814070351758787E-5</v>
      </c>
      <c r="D25">
        <f>(($B$10/(2*$B$7))^2+9*E16*C25/(2*$B$6*($B$9-$B$8)))^(1/2)-$B$10/(2*$B$7)</f>
        <v>7.4354741177367724E-7</v>
      </c>
      <c r="E25" s="1">
        <f>(D25+$B$10/(2*$B$7))^(-1)*9*E16/(2*$B$6*($B$9-$B$8))*1/2*C28</f>
        <v>6.8948703769922839E-9</v>
      </c>
      <c r="F25" s="1"/>
      <c r="G25">
        <v>46.68</v>
      </c>
      <c r="H25" s="1">
        <f>$B$12/(G25-G24)</f>
        <v>2.6737967914438541E-4</v>
      </c>
      <c r="I25" s="1">
        <f>(4*PI()/3)*B29^3*($B$9-$B$8)*($B$6/E18)*(1+ABS(H25)/B28)</f>
        <v>1.3892520478149119E-18</v>
      </c>
      <c r="J25" s="14">
        <f t="shared" si="0"/>
        <v>8.6710293389184017</v>
      </c>
      <c r="K25">
        <v>53.52</v>
      </c>
      <c r="L25" s="1">
        <f t="shared" ref="L25:L26" si="3">$B$12/(K25-K24)</f>
        <v>3.0674846625766824E-4</v>
      </c>
      <c r="M25" s="1">
        <f>-(4*PI()/3)*B29^3*($B$9-$B$8)*($B$6/E18)*(1-ABS(L25)/B28)</f>
        <v>1.0240349277187373E-18</v>
      </c>
      <c r="N25" s="14">
        <f t="shared" si="1"/>
        <v>6.3915233497711208</v>
      </c>
    </row>
    <row r="26" spans="1:14" x14ac:dyDescent="0.25">
      <c r="A26">
        <v>5</v>
      </c>
      <c r="B26">
        <v>39.65</v>
      </c>
      <c r="C26" s="1">
        <f t="shared" si="2"/>
        <v>6.038647342995171E-5</v>
      </c>
      <c r="D26">
        <f>(($B$10/(2*$B$7))^2+9*E16*C26/(2*$B$6*($B$9-$B$8)))^(1/2)-$B$10/(2*$B$7)</f>
        <v>7.2828931777101055E-7</v>
      </c>
      <c r="E26" s="1">
        <f>(D26+$B$10/(2*$B$7))^(-1)*9*E16/(2*$B$6*($B$9-$B$8))*1/2*C28</f>
        <v>7.0317186973898913E-9</v>
      </c>
      <c r="F26" s="1"/>
      <c r="G26">
        <v>48.63</v>
      </c>
      <c r="H26" s="1">
        <f>$B$12/(G26-G25)</f>
        <v>2.5641025641025603E-4</v>
      </c>
      <c r="I26" s="1">
        <f>(4*PI()/3)*B29^3*($B$9-$B$8)*($B$6/E18)*(1+ABS(H26)/B28)</f>
        <v>1.3431432387878628E-18</v>
      </c>
      <c r="J26" s="14">
        <f t="shared" si="0"/>
        <v>8.3832407864487664</v>
      </c>
      <c r="K26">
        <v>54.73</v>
      </c>
      <c r="L26" s="1">
        <f t="shared" si="3"/>
        <v>4.1322314049586993E-4</v>
      </c>
      <c r="M26" s="1">
        <f>-(4*PI()/3)*B29^3*($B$9-$B$8)*($B$6/E18)*(1-ABS(L26)/B28)</f>
        <v>1.4715899668177162E-18</v>
      </c>
      <c r="N26" s="14">
        <f t="shared" si="1"/>
        <v>9.1849422120372477</v>
      </c>
    </row>
    <row r="27" spans="1:14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4" x14ac:dyDescent="0.25">
      <c r="A28" t="s">
        <v>27</v>
      </c>
      <c r="B28" s="1">
        <f>AVERAGE(C22:C26)</f>
        <v>6.3127512828341174E-5</v>
      </c>
      <c r="C28" s="1">
        <f>_xlfn.STDEV.S(C22:C26)/SQRT(COUNT(C22:C26))</f>
        <v>1.1077687785506257E-6</v>
      </c>
      <c r="F28" t="str">
        <f>J28</f>
        <v>Velocità</v>
      </c>
      <c r="G28" s="1">
        <f>AVERAGE(H22:H26)</f>
        <v>2.8102441747571914E-4</v>
      </c>
      <c r="H28" s="1">
        <f>_xlfn.STDEV.S(H22:H26)</f>
        <v>3.2389419781928766E-5</v>
      </c>
      <c r="I28" s="2">
        <f>H28/SQRT(5)</f>
        <v>1.4484988876833826E-5</v>
      </c>
      <c r="J28" t="s">
        <v>27</v>
      </c>
      <c r="K28" s="1">
        <f>AVERAGE(L22:L26)</f>
        <v>4.2416013767723824E-4</v>
      </c>
      <c r="L28" s="1">
        <f>_xlfn.STDEV.S(L22:L26)</f>
        <v>8.3941898001610628E-5</v>
      </c>
      <c r="M28" s="2">
        <f>L28/SQRT(5)</f>
        <v>3.7539958018391018E-5</v>
      </c>
    </row>
    <row r="29" spans="1:14" x14ac:dyDescent="0.25">
      <c r="A29" t="s">
        <v>5</v>
      </c>
      <c r="B29">
        <f>AVERAGE(D22:D26)</f>
        <v>7.3925393280735478E-7</v>
      </c>
      <c r="C29">
        <f>_xlfn.STDEV.S(D22:D26)/SQRT(COUNT(D22:D26))</f>
        <v>3.9197648019514622E-9</v>
      </c>
      <c r="D29" s="1">
        <f>(B29+$B$10/(2*$B$7))^(-1)*9*E16/(2*$B$6*($B$9-$B$8))*1/2*C28</f>
        <v>6.9328366533072095E-9</v>
      </c>
      <c r="F29" t="str">
        <f>J29</f>
        <v>Carica</v>
      </c>
      <c r="G29">
        <f>AVERAGE(I22:I26)</f>
        <v>1.4466062631817846E-18</v>
      </c>
      <c r="H29">
        <f>_xlfn.STDEV.S(I22:I26)</f>
        <v>1.3614550258650509E-19</v>
      </c>
      <c r="I29" s="2">
        <f>H29/SQRT(5)</f>
        <v>6.0886119722859757E-20</v>
      </c>
      <c r="J29" t="s">
        <v>33</v>
      </c>
      <c r="K29">
        <f>AVERAGE(M22:M26)</f>
        <v>1.5175624784610202E-18</v>
      </c>
      <c r="L29">
        <f>_xlfn.STDEV.S(M22:M26)</f>
        <v>3.5284089583693915E-19</v>
      </c>
      <c r="M29" s="2">
        <f>L29/SQRT(5)</f>
        <v>1.5779524566666369E-19</v>
      </c>
    </row>
    <row r="32" spans="1:14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1.3359221936203376E-7</v>
      </c>
      <c r="E33">
        <v>6.9336349448381776E-9</v>
      </c>
      <c r="F33">
        <v>6.873239022179503E-9</v>
      </c>
      <c r="G33">
        <v>6.8948703769922839E-9</v>
      </c>
      <c r="H33">
        <v>7.0317186973898913E-9</v>
      </c>
    </row>
    <row r="34" spans="1:13" x14ac:dyDescent="0.25">
      <c r="C34" t="s">
        <v>21</v>
      </c>
      <c r="D34">
        <v>0</v>
      </c>
      <c r="E34">
        <v>7.391641614088526E-7</v>
      </c>
      <c r="F34">
        <v>7.4601484027587871E-7</v>
      </c>
      <c r="G34">
        <v>7.4354741177367724E-7</v>
      </c>
      <c r="H34">
        <v>7.2828931777101055E-7</v>
      </c>
    </row>
    <row r="35" spans="1:13" x14ac:dyDescent="0.25">
      <c r="A35">
        <v>1</v>
      </c>
      <c r="B35" s="1">
        <f>E22</f>
        <v>1.3359221936203376E-7</v>
      </c>
      <c r="C35">
        <f>D22</f>
        <v>0</v>
      </c>
      <c r="D35">
        <f t="shared" ref="D35:H39" si="4">($C35-D$34)/SQRT($B35^2+D$33^2)</f>
        <v>0</v>
      </c>
      <c r="E35">
        <f t="shared" si="4"/>
        <v>-5.5255508496773302</v>
      </c>
      <c r="F35">
        <f t="shared" si="4"/>
        <v>-5.5768923820456955</v>
      </c>
      <c r="G35">
        <f t="shared" si="4"/>
        <v>-5.5584006712327252</v>
      </c>
      <c r="H35">
        <f t="shared" si="4"/>
        <v>-5.4440486441667133</v>
      </c>
    </row>
    <row r="36" spans="1:13" x14ac:dyDescent="0.25">
      <c r="A36">
        <v>2</v>
      </c>
      <c r="B36">
        <f>E23</f>
        <v>6.9336349448381776E-9</v>
      </c>
      <c r="C36">
        <f>D23</f>
        <v>7.391641614088526E-7</v>
      </c>
      <c r="D36">
        <f t="shared" si="4"/>
        <v>5.5255508496773302</v>
      </c>
      <c r="E36">
        <f t="shared" si="4"/>
        <v>0</v>
      </c>
      <c r="F36">
        <f t="shared" si="4"/>
        <v>-0.70169614769406163</v>
      </c>
      <c r="G36">
        <f t="shared" si="4"/>
        <v>-0.4482644807508831</v>
      </c>
      <c r="H36">
        <f t="shared" si="4"/>
        <v>1.1012232454578135</v>
      </c>
    </row>
    <row r="37" spans="1:13" x14ac:dyDescent="0.25">
      <c r="A37">
        <v>3</v>
      </c>
      <c r="B37">
        <f>E24</f>
        <v>6.873239022179503E-9</v>
      </c>
      <c r="C37">
        <f>D24</f>
        <v>7.4601484027587871E-7</v>
      </c>
      <c r="D37">
        <f t="shared" si="4"/>
        <v>5.5768923820456955</v>
      </c>
      <c r="E37">
        <f t="shared" si="4"/>
        <v>0.70169614769406163</v>
      </c>
      <c r="F37">
        <f t="shared" si="4"/>
        <v>0</v>
      </c>
      <c r="G37">
        <f t="shared" si="4"/>
        <v>0.25344558530887396</v>
      </c>
      <c r="H37">
        <f t="shared" si="4"/>
        <v>1.8026697276094328</v>
      </c>
    </row>
    <row r="38" spans="1:13" x14ac:dyDescent="0.25">
      <c r="A38">
        <v>4</v>
      </c>
      <c r="B38">
        <f>E25</f>
        <v>6.8948703769922839E-9</v>
      </c>
      <c r="C38">
        <f>D25</f>
        <v>7.4354741177367724E-7</v>
      </c>
      <c r="D38">
        <f t="shared" si="4"/>
        <v>5.5584006712327252</v>
      </c>
      <c r="E38">
        <f t="shared" si="4"/>
        <v>0.4482644807508831</v>
      </c>
      <c r="F38">
        <f t="shared" si="4"/>
        <v>-0.25344558530887396</v>
      </c>
      <c r="G38">
        <f t="shared" si="4"/>
        <v>0</v>
      </c>
      <c r="H38">
        <f t="shared" si="4"/>
        <v>1.5493500711382799</v>
      </c>
    </row>
    <row r="39" spans="1:13" x14ac:dyDescent="0.25">
      <c r="A39">
        <v>5</v>
      </c>
      <c r="B39">
        <f>E26</f>
        <v>7.0317186973898913E-9</v>
      </c>
      <c r="C39">
        <f>D26</f>
        <v>7.2828931777101055E-7</v>
      </c>
      <c r="D39">
        <f t="shared" si="4"/>
        <v>5.4440486441667133</v>
      </c>
      <c r="E39">
        <f t="shared" si="4"/>
        <v>-1.1012232454578135</v>
      </c>
      <c r="F39">
        <f t="shared" si="4"/>
        <v>-1.8026697276094328</v>
      </c>
      <c r="G39">
        <f t="shared" si="4"/>
        <v>-1.5493500711382799</v>
      </c>
      <c r="H39">
        <f t="shared" si="4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1.3614550258650509E-19</v>
      </c>
      <c r="E42">
        <v>1.3614550258650509E-19</v>
      </c>
      <c r="F42">
        <v>1.3614550258650509E-19</v>
      </c>
      <c r="G42">
        <v>1.3614550258650509E-19</v>
      </c>
      <c r="H42">
        <v>1.3614550258650509E-19</v>
      </c>
      <c r="I42">
        <v>3.5284089583693915E-19</v>
      </c>
      <c r="J42">
        <v>3.5284089583693915E-19</v>
      </c>
      <c r="K42">
        <v>3.5284089583693915E-19</v>
      </c>
      <c r="L42">
        <v>3.5284089583693915E-19</v>
      </c>
      <c r="M42">
        <v>3.5284089583693915E-19</v>
      </c>
    </row>
    <row r="43" spans="1:13" x14ac:dyDescent="0.25">
      <c r="C43" t="s">
        <v>35</v>
      </c>
      <c r="D43">
        <v>1.4138182165588293E-18</v>
      </c>
      <c r="E43">
        <v>1.6854154706617678E-18</v>
      </c>
      <c r="F43">
        <v>1.4014023420855498E-18</v>
      </c>
      <c r="G43">
        <v>1.3892520478149119E-18</v>
      </c>
      <c r="H43">
        <v>1.3431432387878628E-18</v>
      </c>
      <c r="I43">
        <v>1.376601071800616E-18</v>
      </c>
      <c r="J43">
        <v>1.8363473236833661E-18</v>
      </c>
      <c r="K43">
        <v>1.8792391022846643E-18</v>
      </c>
      <c r="L43">
        <v>1.0240349277187373E-18</v>
      </c>
      <c r="M43">
        <v>1.4715899668177162E-18</v>
      </c>
    </row>
    <row r="44" spans="1:13" x14ac:dyDescent="0.25">
      <c r="A44">
        <v>1</v>
      </c>
      <c r="B44">
        <f>$H$29</f>
        <v>1.3614550258650509E-19</v>
      </c>
      <c r="C44" s="1">
        <f>I22</f>
        <v>1.4138182165588293E-18</v>
      </c>
      <c r="D44">
        <f>($C44-D$43)/SQRT($B44^2+D$42^2)</f>
        <v>0</v>
      </c>
      <c r="E44">
        <f t="shared" ref="E44:M44" si="5">($C44-E$43)/SQRT($B44^2+E$42^2)</f>
        <v>-1.4106103872642339</v>
      </c>
      <c r="F44">
        <f t="shared" si="5"/>
        <v>6.4485046274948499E-2</v>
      </c>
      <c r="G44">
        <f t="shared" si="5"/>
        <v>0.12759073327126458</v>
      </c>
      <c r="H44">
        <f t="shared" si="5"/>
        <v>0.36706872494965881</v>
      </c>
      <c r="I44">
        <f t="shared" si="5"/>
        <v>9.8407001104420341E-2</v>
      </c>
      <c r="J44">
        <f t="shared" si="5"/>
        <v>-1.1172222528510309</v>
      </c>
      <c r="K44">
        <f t="shared" si="5"/>
        <v>-1.2306337284386906</v>
      </c>
      <c r="L44">
        <f t="shared" si="5"/>
        <v>1.0306380240764321</v>
      </c>
      <c r="M44">
        <f t="shared" si="5"/>
        <v>-0.15275606789464799</v>
      </c>
    </row>
    <row r="45" spans="1:13" x14ac:dyDescent="0.25">
      <c r="A45">
        <v>2</v>
      </c>
      <c r="B45">
        <f t="shared" ref="B45:B48" si="6">$H$29</f>
        <v>1.3614550258650509E-19</v>
      </c>
      <c r="C45" s="1">
        <f t="shared" ref="C45:C48" si="7">I23</f>
        <v>1.6854154706617678E-18</v>
      </c>
      <c r="D45">
        <f t="shared" ref="D45:M53" si="8">($C45-D$43)/SQRT($B45^2+D$42^2)</f>
        <v>1.4106103872642339</v>
      </c>
      <c r="E45">
        <f t="shared" si="8"/>
        <v>0</v>
      </c>
      <c r="F45">
        <f t="shared" si="8"/>
        <v>1.4750954335391824</v>
      </c>
      <c r="G45">
        <f t="shared" si="8"/>
        <v>1.5382011205354984</v>
      </c>
      <c r="H45">
        <f t="shared" si="8"/>
        <v>1.7776791122138926</v>
      </c>
      <c r="I45">
        <f t="shared" si="8"/>
        <v>0.81654568310439013</v>
      </c>
      <c r="J45">
        <f t="shared" si="8"/>
        <v>-0.39908357085106116</v>
      </c>
      <c r="K45">
        <f t="shared" si="8"/>
        <v>-0.51249504643872079</v>
      </c>
      <c r="L45">
        <f t="shared" si="8"/>
        <v>1.7487767060764017</v>
      </c>
      <c r="M45">
        <f t="shared" si="8"/>
        <v>0.56538261410532176</v>
      </c>
    </row>
    <row r="46" spans="1:13" x14ac:dyDescent="0.25">
      <c r="A46">
        <v>3</v>
      </c>
      <c r="B46">
        <f t="shared" si="6"/>
        <v>1.3614550258650509E-19</v>
      </c>
      <c r="C46" s="1">
        <f t="shared" si="7"/>
        <v>1.4014023420855498E-18</v>
      </c>
      <c r="D46">
        <f t="shared" si="8"/>
        <v>-6.4485046274948499E-2</v>
      </c>
      <c r="E46">
        <f t="shared" si="8"/>
        <v>-1.4750954335391824</v>
      </c>
      <c r="F46">
        <f t="shared" si="8"/>
        <v>0</v>
      </c>
      <c r="G46">
        <f t="shared" si="8"/>
        <v>6.3105686996316079E-2</v>
      </c>
      <c r="H46">
        <f t="shared" si="8"/>
        <v>0.30258367867471031</v>
      </c>
      <c r="I46">
        <f t="shared" si="8"/>
        <v>6.5577804212986993E-2</v>
      </c>
      <c r="J46">
        <f t="shared" si="8"/>
        <v>-1.1500514497424643</v>
      </c>
      <c r="K46">
        <f t="shared" si="8"/>
        <v>-1.2634629253301239</v>
      </c>
      <c r="L46">
        <f t="shared" si="8"/>
        <v>0.99780882718499864</v>
      </c>
      <c r="M46">
        <f t="shared" si="8"/>
        <v>-0.18558526478608134</v>
      </c>
    </row>
    <row r="47" spans="1:13" x14ac:dyDescent="0.25">
      <c r="A47">
        <v>4</v>
      </c>
      <c r="B47">
        <f t="shared" si="6"/>
        <v>1.3614550258650509E-19</v>
      </c>
      <c r="C47" s="1">
        <f t="shared" si="7"/>
        <v>1.3892520478149119E-18</v>
      </c>
      <c r="D47">
        <f t="shared" si="8"/>
        <v>-0.12759073327126458</v>
      </c>
      <c r="E47">
        <f t="shared" si="8"/>
        <v>-1.5382011205354984</v>
      </c>
      <c r="F47">
        <f t="shared" si="8"/>
        <v>-6.3105686996316079E-2</v>
      </c>
      <c r="G47">
        <f t="shared" si="8"/>
        <v>0</v>
      </c>
      <c r="H47">
        <f t="shared" si="8"/>
        <v>0.23947799167839426</v>
      </c>
      <c r="I47">
        <f t="shared" si="8"/>
        <v>3.3450836132077756E-2</v>
      </c>
      <c r="J47">
        <f t="shared" si="8"/>
        <v>-1.1821784178233734</v>
      </c>
      <c r="K47">
        <f t="shared" si="8"/>
        <v>-1.295589893411033</v>
      </c>
      <c r="L47">
        <f t="shared" si="8"/>
        <v>0.96568185910408944</v>
      </c>
      <c r="M47">
        <f t="shared" si="8"/>
        <v>-0.21771223286699057</v>
      </c>
    </row>
    <row r="48" spans="1:13" x14ac:dyDescent="0.25">
      <c r="A48">
        <v>5</v>
      </c>
      <c r="B48">
        <f t="shared" si="6"/>
        <v>1.3614550258650509E-19</v>
      </c>
      <c r="C48" s="1">
        <f t="shared" si="7"/>
        <v>1.3431432387878628E-18</v>
      </c>
      <c r="D48">
        <f t="shared" si="8"/>
        <v>-0.36706872494965881</v>
      </c>
      <c r="E48">
        <f t="shared" si="8"/>
        <v>-1.7776791122138926</v>
      </c>
      <c r="F48">
        <f t="shared" si="8"/>
        <v>-0.30258367867471031</v>
      </c>
      <c r="G48">
        <f t="shared" si="8"/>
        <v>-0.23947799167839426</v>
      </c>
      <c r="H48">
        <f t="shared" si="8"/>
        <v>0</v>
      </c>
      <c r="I48">
        <f t="shared" si="8"/>
        <v>-8.8466888892945031E-2</v>
      </c>
      <c r="J48">
        <f t="shared" si="8"/>
        <v>-1.3040961428483964</v>
      </c>
      <c r="K48">
        <f t="shared" si="8"/>
        <v>-1.417507618436056</v>
      </c>
      <c r="L48">
        <f t="shared" si="8"/>
        <v>0.8437641340790667</v>
      </c>
      <c r="M48">
        <f t="shared" si="8"/>
        <v>-0.33962995789201339</v>
      </c>
    </row>
    <row r="49" spans="1:13" x14ac:dyDescent="0.25">
      <c r="A49">
        <v>6</v>
      </c>
      <c r="B49">
        <f>$L$29</f>
        <v>3.5284089583693915E-19</v>
      </c>
      <c r="C49" s="1">
        <f>M22</f>
        <v>1.376601071800616E-18</v>
      </c>
      <c r="D49">
        <f t="shared" si="8"/>
        <v>-9.8407001104420341E-2</v>
      </c>
      <c r="E49">
        <f t="shared" si="8"/>
        <v>-0.81654568310439013</v>
      </c>
      <c r="F49">
        <f t="shared" si="8"/>
        <v>-6.5577804212986993E-2</v>
      </c>
      <c r="G49">
        <f t="shared" si="8"/>
        <v>-3.3450836132077756E-2</v>
      </c>
      <c r="H49">
        <f t="shared" si="8"/>
        <v>8.8466888892945031E-2</v>
      </c>
      <c r="I49">
        <f t="shared" si="8"/>
        <v>0</v>
      </c>
      <c r="J49">
        <f t="shared" si="8"/>
        <v>-0.92134924314903432</v>
      </c>
      <c r="K49">
        <f t="shared" si="8"/>
        <v>-1.0073060238509692</v>
      </c>
      <c r="L49">
        <f t="shared" si="8"/>
        <v>0.70655616805910559</v>
      </c>
      <c r="M49">
        <f t="shared" si="8"/>
        <v>-0.19036141387377362</v>
      </c>
    </row>
    <row r="50" spans="1:13" x14ac:dyDescent="0.25">
      <c r="A50">
        <v>7</v>
      </c>
      <c r="B50">
        <f t="shared" ref="B50:B53" si="9">$L$29</f>
        <v>3.5284089583693915E-19</v>
      </c>
      <c r="C50" s="1">
        <f t="shared" ref="C50:C53" si="10">M23</f>
        <v>1.8363473236833661E-18</v>
      </c>
      <c r="D50">
        <f t="shared" si="8"/>
        <v>1.1172222528510309</v>
      </c>
      <c r="E50">
        <f t="shared" si="8"/>
        <v>0.39908357085106116</v>
      </c>
      <c r="F50">
        <f t="shared" si="8"/>
        <v>1.1500514497424643</v>
      </c>
      <c r="G50">
        <f t="shared" si="8"/>
        <v>1.1821784178233734</v>
      </c>
      <c r="H50">
        <f t="shared" si="8"/>
        <v>1.3040961428483964</v>
      </c>
      <c r="I50">
        <f t="shared" si="8"/>
        <v>0.92134924314903432</v>
      </c>
      <c r="J50">
        <f t="shared" si="8"/>
        <v>0</v>
      </c>
      <c r="K50">
        <f t="shared" si="8"/>
        <v>-8.5956780701934826E-2</v>
      </c>
      <c r="L50">
        <f t="shared" si="8"/>
        <v>1.6279054112081399</v>
      </c>
      <c r="M50">
        <f t="shared" si="8"/>
        <v>0.73098782927526074</v>
      </c>
    </row>
    <row r="51" spans="1:13" x14ac:dyDescent="0.25">
      <c r="A51">
        <v>8</v>
      </c>
      <c r="B51">
        <f t="shared" si="9"/>
        <v>3.5284089583693915E-19</v>
      </c>
      <c r="C51" s="1">
        <f t="shared" si="10"/>
        <v>1.8792391022846643E-18</v>
      </c>
      <c r="D51">
        <f t="shared" si="8"/>
        <v>1.2306337284386906</v>
      </c>
      <c r="E51">
        <f t="shared" si="8"/>
        <v>0.51249504643872079</v>
      </c>
      <c r="F51">
        <f t="shared" si="8"/>
        <v>1.2634629253301239</v>
      </c>
      <c r="G51">
        <f t="shared" si="8"/>
        <v>1.295589893411033</v>
      </c>
      <c r="H51">
        <f t="shared" si="8"/>
        <v>1.417507618436056</v>
      </c>
      <c r="I51">
        <f t="shared" si="8"/>
        <v>1.0073060238509692</v>
      </c>
      <c r="J51">
        <f t="shared" si="8"/>
        <v>8.5956780701934826E-2</v>
      </c>
      <c r="K51">
        <f t="shared" si="8"/>
        <v>0</v>
      </c>
      <c r="L51">
        <f t="shared" si="8"/>
        <v>1.7138621919100747</v>
      </c>
      <c r="M51">
        <f t="shared" si="8"/>
        <v>0.81694460997719553</v>
      </c>
    </row>
    <row r="52" spans="1:13" x14ac:dyDescent="0.25">
      <c r="A52">
        <v>9</v>
      </c>
      <c r="B52">
        <f t="shared" si="9"/>
        <v>3.5284089583693915E-19</v>
      </c>
      <c r="C52" s="1">
        <f t="shared" si="10"/>
        <v>1.0240349277187373E-18</v>
      </c>
      <c r="D52">
        <f t="shared" si="8"/>
        <v>-1.0306380240764321</v>
      </c>
      <c r="E52">
        <f t="shared" si="8"/>
        <v>-1.7487767060764017</v>
      </c>
      <c r="F52">
        <f t="shared" si="8"/>
        <v>-0.99780882718499864</v>
      </c>
      <c r="G52">
        <f t="shared" si="8"/>
        <v>-0.96568185910408944</v>
      </c>
      <c r="H52">
        <f t="shared" si="8"/>
        <v>-0.8437641340790667</v>
      </c>
      <c r="I52">
        <f t="shared" si="8"/>
        <v>-0.70655616805910559</v>
      </c>
      <c r="J52">
        <f t="shared" si="8"/>
        <v>-1.6279054112081399</v>
      </c>
      <c r="K52">
        <f t="shared" si="8"/>
        <v>-1.7138621919100747</v>
      </c>
      <c r="L52">
        <f t="shared" si="8"/>
        <v>0</v>
      </c>
      <c r="M52">
        <f t="shared" si="8"/>
        <v>-0.89691758193287918</v>
      </c>
    </row>
    <row r="53" spans="1:13" x14ac:dyDescent="0.25">
      <c r="A53">
        <v>10</v>
      </c>
      <c r="B53">
        <f t="shared" si="9"/>
        <v>3.5284089583693915E-19</v>
      </c>
      <c r="C53" s="1">
        <f t="shared" si="10"/>
        <v>1.4715899668177162E-18</v>
      </c>
      <c r="D53">
        <f t="shared" si="8"/>
        <v>0.15275606789464799</v>
      </c>
      <c r="E53">
        <f t="shared" si="8"/>
        <v>-0.56538261410532176</v>
      </c>
      <c r="F53">
        <f t="shared" si="8"/>
        <v>0.18558526478608134</v>
      </c>
      <c r="G53">
        <f t="shared" si="8"/>
        <v>0.21771223286699057</v>
      </c>
      <c r="H53">
        <f t="shared" si="8"/>
        <v>0.33962995789201339</v>
      </c>
      <c r="I53">
        <f t="shared" si="8"/>
        <v>0.19036141387377362</v>
      </c>
      <c r="J53">
        <f t="shared" si="8"/>
        <v>-0.73098782927526074</v>
      </c>
      <c r="K53">
        <f t="shared" si="8"/>
        <v>-0.81694460997719553</v>
      </c>
      <c r="L53">
        <f t="shared" si="8"/>
        <v>0.89691758193287918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33" priority="3" operator="greaterThan">
      <formula>1.96</formula>
    </cfRule>
  </conditionalFormatting>
  <conditionalFormatting sqref="D35:H35">
    <cfRule type="cellIs" dxfId="32" priority="1" operator="notBetween">
      <formula>-1.96</formula>
      <formula>1.96</formula>
    </cfRule>
  </conditionalFormatting>
  <conditionalFormatting sqref="D36:H39">
    <cfRule type="cellIs" dxfId="31" priority="2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6" zoomScaleNormal="100" workbookViewId="0">
      <selection activeCell="D35" sqref="D35:H3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  <col min="15" max="15" width="12" bestFit="1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3.4921562865040232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7" x14ac:dyDescent="0.25">
      <c r="A17" t="s">
        <v>23</v>
      </c>
      <c r="B17">
        <v>2.23</v>
      </c>
      <c r="D17" t="s">
        <v>1</v>
      </c>
      <c r="E17" s="2">
        <f>E16/(1+$B$10/($B$7*B29))</f>
        <v>1.6268954464168221E-5</v>
      </c>
    </row>
    <row r="18" spans="1:17" x14ac:dyDescent="0.25">
      <c r="A18" t="s">
        <v>24</v>
      </c>
      <c r="B18">
        <v>20.5</v>
      </c>
      <c r="D18" t="s">
        <v>32</v>
      </c>
      <c r="E18" s="1">
        <f>B16/B5</f>
        <v>53701.211305518162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AVERAGE(I22:I26)</f>
        <v>7.8828428832953141E-5</v>
      </c>
      <c r="I19">
        <f>_xlfn.STDEV.S(I22:I26)</f>
        <v>4.7700078029447774E-6</v>
      </c>
      <c r="J19" s="1">
        <f>H19-2*I19</f>
        <v>6.9288413227063588E-5</v>
      </c>
      <c r="K19" s="1">
        <f>H19+2*I19</f>
        <v>8.8368444438842694E-5</v>
      </c>
      <c r="M19" t="s">
        <v>44</v>
      </c>
      <c r="N19" s="1">
        <f>AVERAGE(N22:N26)</f>
        <v>2.213849301970563E-4</v>
      </c>
      <c r="O19">
        <f>_xlfn.STDEV.S(N22:N26)</f>
        <v>1.9447769785687652E-5</v>
      </c>
      <c r="P19" s="1">
        <f>N19-2*O19</f>
        <v>1.8248939062568098E-4</v>
      </c>
      <c r="Q19" s="1">
        <f>N19+2*O19</f>
        <v>2.6028046976843161E-4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I21" t="s">
        <v>20</v>
      </c>
      <c r="J21" t="s">
        <v>22</v>
      </c>
      <c r="L21" t="s">
        <v>38</v>
      </c>
      <c r="N21" t="s">
        <v>20</v>
      </c>
      <c r="O21" t="s">
        <v>22</v>
      </c>
    </row>
    <row r="22" spans="1:17" x14ac:dyDescent="0.25">
      <c r="A22">
        <v>1</v>
      </c>
      <c r="B22">
        <v>10.039999999999999</v>
      </c>
      <c r="C22" s="1">
        <f>B12/B22</f>
        <v>4.9800796812749013E-5</v>
      </c>
      <c r="D22">
        <f>(($B$10/(2*$B$7))^2+9*E16*C22/(2*$B$6*($B$9-$B$8)))^(1/2)-$B$10/(2*$B$7)</f>
        <v>6.5786996305403242E-7</v>
      </c>
      <c r="E22" s="1">
        <f>(D22+$B$10/(2*$B$7))^(-1)*9*E16/(2*$B$6*($B$9-$B$8))*1/2*C28</f>
        <v>5.1341612865464334E-9</v>
      </c>
      <c r="F22" s="1"/>
      <c r="G22">
        <v>55.33</v>
      </c>
      <c r="H22">
        <f>G22-B26</f>
        <v>6.07</v>
      </c>
      <c r="I22" s="1">
        <f>$B$12/(G22-B26)</f>
        <v>8.2372322899505762E-5</v>
      </c>
      <c r="J22" s="1">
        <f>(4*PI()/3)*B29^3*($B$9-$B$8)*($B$6/E18)*(1+ABS(I22)/B28)</f>
        <v>4.9635815713864014E-19</v>
      </c>
      <c r="L22">
        <v>83.58</v>
      </c>
      <c r="M22">
        <f>L22-G26</f>
        <v>2.5100000000000051</v>
      </c>
      <c r="N22" s="1">
        <f>B12/(L22-G26)</f>
        <v>1.9920318725099562E-4</v>
      </c>
      <c r="O22" s="1">
        <f>-(4*PI()/3)*B29^3*($B$9-$B$8)*($B$6/$E$18)*(1-ABS(N22)/B28)</f>
        <v>5.5318166917212203E-19</v>
      </c>
    </row>
    <row r="23" spans="1:17" x14ac:dyDescent="0.25">
      <c r="A23">
        <v>2</v>
      </c>
      <c r="B23">
        <v>19.440000000000001</v>
      </c>
      <c r="C23" s="1">
        <f>$B$12/(B23-B22)</f>
        <v>5.3191489361702114E-5</v>
      </c>
      <c r="E23" s="1">
        <f>(D23+$B$10/(2*$B$7))^(-1)*9*E16/(2*$B$6*($B$9-$B$8))*1/2*C28</f>
        <v>8.860644994421319E-8</v>
      </c>
      <c r="F23" s="1"/>
      <c r="G23">
        <v>61.29</v>
      </c>
      <c r="H23">
        <f>G23-G22</f>
        <v>5.9600000000000009</v>
      </c>
      <c r="I23" s="1">
        <f>$B$12/(G23-G22)</f>
        <v>8.3892617449664425E-5</v>
      </c>
      <c r="J23" s="1">
        <f>(4*PI()/3)*B29^3*($B$9-$B$8)*($B$6/E18)*(1+ABS(I23)/B28)</f>
        <v>5.0202487750527249E-19</v>
      </c>
      <c r="L23">
        <v>85.92</v>
      </c>
      <c r="M23">
        <f>L23-L22</f>
        <v>2.3400000000000034</v>
      </c>
      <c r="N23" s="1">
        <f>$B$12/(L23-L22)</f>
        <v>2.1367521367521338E-4</v>
      </c>
      <c r="O23" s="1">
        <f>-(4*PI()/3)*B29^3*($B$9-$B$8)*($B$6/$E$18)*(1-ABS(N23)/B28)</f>
        <v>6.0712445734826639E-19</v>
      </c>
    </row>
    <row r="24" spans="1:17" x14ac:dyDescent="0.25">
      <c r="A24">
        <v>3</v>
      </c>
      <c r="B24">
        <v>29.41</v>
      </c>
      <c r="C24" s="1">
        <f t="shared" ref="C24:C26" si="0">$B$12/(B24-B23)</f>
        <v>5.0150451354062191E-5</v>
      </c>
      <c r="D24">
        <f>(($B$10/(2*$B$7))^2+9*E16*C24/(2*$B$6*($B$9-$B$8)))^(1/2)-$B$10/(2*$B$7)</f>
        <v>6.6030899580072425E-7</v>
      </c>
      <c r="E24" s="1">
        <f>(D24+$B$10/(2*$B$7))^(-1)*9*E16/(2*$B$6*($B$9-$B$8))*1/2*C28</f>
        <v>5.1162918906224897E-9</v>
      </c>
      <c r="F24" s="1"/>
      <c r="G24">
        <v>68.239999999999995</v>
      </c>
      <c r="H24">
        <f t="shared" ref="H24:H26" si="1">G24-G23</f>
        <v>6.9499999999999957</v>
      </c>
      <c r="I24" s="1">
        <f>$B$12/(G24-G23)</f>
        <v>7.1942446043165507E-5</v>
      </c>
      <c r="J24" s="1">
        <f>(4*PI()/3)*B29^3*($B$9-$B$8)*($B$6/E18)*(1+ABS(I24)/B28)</f>
        <v>4.5748200935719756E-19</v>
      </c>
      <c r="L24">
        <v>87.91</v>
      </c>
      <c r="M24">
        <f t="shared" ref="M24:M26" si="2">L24-L23</f>
        <v>1.9899999999999949</v>
      </c>
      <c r="N24" s="1">
        <f>$B$12/(L24-L23)</f>
        <v>2.5125628140703585E-4</v>
      </c>
      <c r="O24" s="1">
        <f>-(4*PI()/3)*B29^3*($B$9-$B$8)*($B$6/E18)*(1-ABS(N24)/B28)</f>
        <v>7.4720349788253679E-19</v>
      </c>
    </row>
    <row r="25" spans="1:17" x14ac:dyDescent="0.25">
      <c r="A25">
        <v>4</v>
      </c>
      <c r="B25">
        <v>39.590000000000003</v>
      </c>
      <c r="C25" s="1">
        <f t="shared" si="0"/>
        <v>4.9115913555992126E-5</v>
      </c>
      <c r="D25">
        <f>(($B$10/(2*$B$7))^2+9*E16*C25/(2*$B$6*($B$9-$B$8)))^(1/2)-$B$10/(2*$B$7)</f>
        <v>6.5306767051193769E-7</v>
      </c>
      <c r="E25" s="1">
        <f>(D25+$B$10/(2*$B$7))^(-1)*9*E16/(2*$B$6*($B$9-$B$8))*1/2*C28</f>
        <v>5.1697122940885093E-9</v>
      </c>
      <c r="F25" s="1"/>
      <c r="G25">
        <v>74.540000000000006</v>
      </c>
      <c r="H25">
        <f t="shared" si="1"/>
        <v>6.3000000000000114</v>
      </c>
      <c r="I25" s="1">
        <f>$B$12/(G25-G24)</f>
        <v>7.9365079365079229E-5</v>
      </c>
      <c r="J25" s="1">
        <f>(4*PI()/3)*B29^3*($B$9-$B$8)*($B$6/E18)*(1+ABS(I25)/B28)</f>
        <v>4.8514900810750041E-19</v>
      </c>
      <c r="L25">
        <v>90.23</v>
      </c>
      <c r="M25">
        <f t="shared" si="2"/>
        <v>2.3200000000000074</v>
      </c>
      <c r="N25" s="1">
        <f>$B$12/(L25-L24)</f>
        <v>2.1551724137930966E-4</v>
      </c>
      <c r="O25" s="1">
        <f>-(4*PI()/3)*B29^3*($B$9-$B$8)*($B$6/E18)*(1-ABS(N25)/B28)</f>
        <v>6.1399040046804792E-19</v>
      </c>
    </row>
    <row r="26" spans="1:17" x14ac:dyDescent="0.25">
      <c r="A26">
        <v>5</v>
      </c>
      <c r="B26">
        <v>49.26</v>
      </c>
      <c r="C26" s="1">
        <f t="shared" si="0"/>
        <v>5.1706308169596723E-5</v>
      </c>
      <c r="D26">
        <f>(($B$10/(2*$B$7))^2+9*E16*C26/(2*$B$6*($B$9-$B$8)))^(1/2)-$B$10/(2*$B$7)</f>
        <v>6.7106058802130933E-7</v>
      </c>
      <c r="E26" s="1">
        <f>(D26+$B$10/(2*$B$7))^(-1)*9*E16/(2*$B$6*($B$9-$B$8))*1/2*C28</f>
        <v>5.038981427557879E-9</v>
      </c>
      <c r="F26" s="1"/>
      <c r="G26">
        <v>81.069999999999993</v>
      </c>
      <c r="H26">
        <f t="shared" si="1"/>
        <v>6.5299999999999869</v>
      </c>
      <c r="I26" s="1">
        <f>$B$12/(G26-G25)</f>
        <v>7.6569678407350849E-5</v>
      </c>
      <c r="J26" s="1">
        <f>(4*PI()/3)*B29^3*($B$9-$B$8)*($B$6/E18)*(1+ABS(I26)/B28)</f>
        <v>4.7472947753797392E-19</v>
      </c>
      <c r="L26">
        <v>92.43</v>
      </c>
      <c r="M26">
        <f t="shared" si="2"/>
        <v>2.2000000000000028</v>
      </c>
      <c r="N26" s="1">
        <f>$B$12/(L26-L25)</f>
        <v>2.2727272727272697E-4</v>
      </c>
      <c r="O26" s="1">
        <f>-(4*PI()/3)*B29^3*($B$9-$B$8)*($B$6/E18)*(1-ABS(N26)/B28)</f>
        <v>6.5780760110521012E-19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5.0792991850820433E-5</v>
      </c>
      <c r="C28" s="1">
        <f>_xlfn.STDEV.S(C22:C26)/SQRT(COUNT(C22:C26))</f>
        <v>7.3473933807782434E-7</v>
      </c>
      <c r="F28" t="str">
        <f>J28</f>
        <v>Velocità</v>
      </c>
      <c r="G28" s="1">
        <f>AVERAGE(I22:I26)</f>
        <v>7.8828428832953141E-5</v>
      </c>
      <c r="H28" s="1">
        <f>_xlfn.STDEV.S(I22:I26)</f>
        <v>4.7700078029447774E-6</v>
      </c>
      <c r="I28" s="2">
        <f>H28/SQRT(5)</f>
        <v>2.1332123401177884E-6</v>
      </c>
      <c r="J28" t="s">
        <v>27</v>
      </c>
      <c r="K28" s="1">
        <f>AVERAGE(N22:N26)</f>
        <v>2.213849301970563E-4</v>
      </c>
      <c r="L28" s="1">
        <f>_xlfn.STDEV.S(N22:N26)</f>
        <v>1.9447769785687652E-5</v>
      </c>
      <c r="M28" s="2">
        <f>L28/SQRT(5)</f>
        <v>8.6973070503128216E-6</v>
      </c>
    </row>
    <row r="29" spans="1:17" x14ac:dyDescent="0.25">
      <c r="A29" t="s">
        <v>5</v>
      </c>
      <c r="B29">
        <f>AVERAGE(D22:D26)</f>
        <v>6.6057680434700092E-7</v>
      </c>
      <c r="C29">
        <f>_xlfn.STDEV.S(D22:D26)/SQRT(COUNT(D22:D26))</f>
        <v>3.804553437279303E-9</v>
      </c>
      <c r="D29" s="1">
        <f>(B29+$B$10/(2*$B$7))^(-1)*9*E16/(2*$B$6*($B$9-$B$8))*1/2*C28</f>
        <v>5.1143373867326412E-9</v>
      </c>
      <c r="F29" t="str">
        <f>J29</f>
        <v>Carica</v>
      </c>
      <c r="G29">
        <f>AVERAGE(J22:J26)</f>
        <v>4.8314870592931692E-19</v>
      </c>
      <c r="H29">
        <f>_xlfn.STDEV.S(J22:J26)</f>
        <v>1.7779646952704722E-20</v>
      </c>
      <c r="I29" s="2">
        <f>H29/SQRT(5)</f>
        <v>7.9512998404389493E-21</v>
      </c>
      <c r="J29" t="s">
        <v>33</v>
      </c>
      <c r="K29">
        <f>AVERAGE(O22:O26)</f>
        <v>6.3586152519523667E-19</v>
      </c>
      <c r="L29">
        <f>_xlfn.STDEV.S(O22:O26)</f>
        <v>7.2489290393516725E-20</v>
      </c>
      <c r="M29" s="2">
        <f>L29/SQRT(5)</f>
        <v>3.2418196192125174E-20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5.1341612865464334E-9</v>
      </c>
      <c r="E33">
        <v>8.860644994421319E-8</v>
      </c>
      <c r="F33">
        <v>5.1162918906224897E-9</v>
      </c>
      <c r="G33">
        <v>5.1697122940885093E-9</v>
      </c>
      <c r="H33">
        <v>5.038981427557879E-9</v>
      </c>
    </row>
    <row r="34" spans="1:13" x14ac:dyDescent="0.25">
      <c r="C34" t="s">
        <v>21</v>
      </c>
      <c r="D34">
        <v>6.5786996305403242E-7</v>
      </c>
      <c r="E34">
        <v>0</v>
      </c>
      <c r="F34">
        <v>6.6030899580072425E-7</v>
      </c>
      <c r="G34">
        <v>6.5306767051193769E-7</v>
      </c>
      <c r="H34">
        <v>6.7106058802130933E-7</v>
      </c>
    </row>
    <row r="35" spans="1:13" x14ac:dyDescent="0.25">
      <c r="A35">
        <v>1</v>
      </c>
      <c r="B35" s="1">
        <f>E22</f>
        <v>5.1341612865464334E-9</v>
      </c>
      <c r="C35">
        <f>D22</f>
        <v>6.5786996305403242E-7</v>
      </c>
      <c r="D35">
        <f t="shared" ref="D35:H39" si="3">($C35-D$34)/SQRT($B35^2+D$33^2)</f>
        <v>0</v>
      </c>
      <c r="E35">
        <f t="shared" si="3"/>
        <v>7.4121958046463057</v>
      </c>
      <c r="F35">
        <f t="shared" si="3"/>
        <v>-0.33650297099759918</v>
      </c>
      <c r="G35">
        <f t="shared" si="3"/>
        <v>0.65911395039889908</v>
      </c>
      <c r="H35">
        <f t="shared" si="3"/>
        <v>-1.8336068657983959</v>
      </c>
    </row>
    <row r="36" spans="1:13" x14ac:dyDescent="0.25">
      <c r="A36">
        <v>2</v>
      </c>
      <c r="B36">
        <f>E23</f>
        <v>8.860644994421319E-8</v>
      </c>
      <c r="C36">
        <f>D23</f>
        <v>0</v>
      </c>
      <c r="D36">
        <f t="shared" si="3"/>
        <v>-7.4121958046463057</v>
      </c>
      <c r="E36">
        <f t="shared" si="3"/>
        <v>0</v>
      </c>
      <c r="F36">
        <f t="shared" si="3"/>
        <v>-7.4397627900950294</v>
      </c>
      <c r="G36">
        <f t="shared" si="3"/>
        <v>-7.357917482806787</v>
      </c>
      <c r="H36">
        <f t="shared" si="3"/>
        <v>-7.5612787946642559</v>
      </c>
    </row>
    <row r="37" spans="1:13" x14ac:dyDescent="0.25">
      <c r="A37">
        <v>3</v>
      </c>
      <c r="B37">
        <f>E24</f>
        <v>5.1162918906224897E-9</v>
      </c>
      <c r="C37">
        <f>D24</f>
        <v>6.6030899580072425E-7</v>
      </c>
      <c r="D37">
        <f t="shared" si="3"/>
        <v>0.33650297099759918</v>
      </c>
      <c r="E37">
        <f t="shared" si="3"/>
        <v>7.4397627900950294</v>
      </c>
      <c r="F37">
        <f t="shared" si="3"/>
        <v>0</v>
      </c>
      <c r="G37">
        <f t="shared" si="3"/>
        <v>0.99558994359856245</v>
      </c>
      <c r="H37">
        <f t="shared" si="3"/>
        <v>-1.4972129721689862</v>
      </c>
    </row>
    <row r="38" spans="1:13" x14ac:dyDescent="0.25">
      <c r="A38">
        <v>4</v>
      </c>
      <c r="B38">
        <f>E25</f>
        <v>5.1697122940885093E-9</v>
      </c>
      <c r="C38">
        <f>D25</f>
        <v>6.5306767051193769E-7</v>
      </c>
      <c r="D38">
        <f t="shared" si="3"/>
        <v>-0.65911395039889908</v>
      </c>
      <c r="E38">
        <f t="shared" si="3"/>
        <v>7.357917482806787</v>
      </c>
      <c r="F38">
        <f t="shared" si="3"/>
        <v>-0.99558994359856245</v>
      </c>
      <c r="G38">
        <f t="shared" si="3"/>
        <v>0</v>
      </c>
      <c r="H38">
        <f t="shared" si="3"/>
        <v>-2.4923601877947972</v>
      </c>
    </row>
    <row r="39" spans="1:13" x14ac:dyDescent="0.25">
      <c r="A39">
        <v>5</v>
      </c>
      <c r="B39">
        <f>E26</f>
        <v>5.038981427557879E-9</v>
      </c>
      <c r="C39">
        <f>D26</f>
        <v>6.7106058802130933E-7</v>
      </c>
      <c r="D39">
        <f t="shared" si="3"/>
        <v>1.8336068657983959</v>
      </c>
      <c r="E39">
        <f t="shared" si="3"/>
        <v>7.5612787946642559</v>
      </c>
      <c r="F39">
        <f t="shared" si="3"/>
        <v>1.4972129721689862</v>
      </c>
      <c r="G39">
        <f t="shared" si="3"/>
        <v>2.4923601877947972</v>
      </c>
      <c r="H39">
        <f t="shared" si="3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1.7779646952704722E-20</v>
      </c>
      <c r="E42">
        <v>1.7779646952704722E-20</v>
      </c>
      <c r="F42">
        <v>1.7779646952704722E-20</v>
      </c>
      <c r="G42">
        <v>1.7779646952704722E-20</v>
      </c>
      <c r="H42">
        <v>1.7779646952704722E-20</v>
      </c>
      <c r="I42">
        <v>7.2489290393516725E-20</v>
      </c>
      <c r="J42">
        <v>7.2489290393516725E-20</v>
      </c>
      <c r="K42">
        <v>7.2489290393516725E-20</v>
      </c>
      <c r="L42">
        <v>7.2489290393516725E-20</v>
      </c>
      <c r="M42">
        <v>7.2489290393516725E-20</v>
      </c>
    </row>
    <row r="43" spans="1:13" x14ac:dyDescent="0.25">
      <c r="C43" t="s">
        <v>35</v>
      </c>
      <c r="D43">
        <v>4.9635815713864014E-19</v>
      </c>
      <c r="E43">
        <v>5.0202487750527249E-19</v>
      </c>
      <c r="F43">
        <v>4.5748200935719756E-19</v>
      </c>
      <c r="G43">
        <v>4.8514900810750041E-19</v>
      </c>
      <c r="H43">
        <v>4.7472947753797392E-19</v>
      </c>
      <c r="I43">
        <v>5.5318166917212203E-19</v>
      </c>
      <c r="J43">
        <v>6.0712445734826639E-19</v>
      </c>
      <c r="K43">
        <v>7.4720349788253679E-19</v>
      </c>
      <c r="L43">
        <v>6.1399040046804792E-19</v>
      </c>
      <c r="M43">
        <v>6.5780760110521012E-19</v>
      </c>
    </row>
    <row r="44" spans="1:13" x14ac:dyDescent="0.25">
      <c r="A44">
        <v>1</v>
      </c>
      <c r="B44">
        <f>$H$29</f>
        <v>1.7779646952704722E-20</v>
      </c>
      <c r="C44" s="1">
        <f>J22</f>
        <v>4.9635815713864014E-19</v>
      </c>
      <c r="D44">
        <f>($C44-D$43)/SQRT($B44^2+D$42^2)</f>
        <v>0</v>
      </c>
      <c r="E44">
        <f t="shared" ref="E44:M44" si="4">($C44-E$43)/SQRT($B44^2+E$42^2)</f>
        <v>-0.22536872689275175</v>
      </c>
      <c r="F44">
        <f t="shared" si="4"/>
        <v>1.5461267479490957</v>
      </c>
      <c r="G44">
        <f t="shared" si="4"/>
        <v>0.44579430133418757</v>
      </c>
      <c r="H44">
        <f t="shared" si="4"/>
        <v>0.86018502248244411</v>
      </c>
      <c r="I44">
        <f t="shared" si="4"/>
        <v>-0.7613227004398615</v>
      </c>
      <c r="J44">
        <f t="shared" si="4"/>
        <v>-1.4840493974331659</v>
      </c>
      <c r="K44">
        <f t="shared" si="4"/>
        <v>-3.3608315532375683</v>
      </c>
      <c r="L44">
        <f t="shared" si="4"/>
        <v>-1.5760394587644431</v>
      </c>
      <c r="M44">
        <f t="shared" si="4"/>
        <v>-2.1631033047151038</v>
      </c>
    </row>
    <row r="45" spans="1:13" x14ac:dyDescent="0.25">
      <c r="A45">
        <v>2</v>
      </c>
      <c r="B45">
        <f t="shared" ref="B45:B48" si="5">$H$29</f>
        <v>1.7779646952704722E-20</v>
      </c>
      <c r="C45" s="1">
        <f>J23</f>
        <v>5.0202487750527249E-19</v>
      </c>
      <c r="D45">
        <f t="shared" ref="D45:M53" si="6">($C45-D$43)/SQRT($B45^2+D$42^2)</f>
        <v>0.22536872689275175</v>
      </c>
      <c r="E45">
        <f t="shared" si="6"/>
        <v>0</v>
      </c>
      <c r="F45">
        <f t="shared" si="6"/>
        <v>1.7714954748418474</v>
      </c>
      <c r="G45">
        <f t="shared" si="6"/>
        <v>0.6711630282269393</v>
      </c>
      <c r="H45">
        <f t="shared" si="6"/>
        <v>1.0855537493751959</v>
      </c>
      <c r="I45">
        <f t="shared" si="6"/>
        <v>-0.68539985270000225</v>
      </c>
      <c r="J45">
        <f t="shared" si="6"/>
        <v>-1.4081265496933066</v>
      </c>
      <c r="K45">
        <f t="shared" si="6"/>
        <v>-3.2849087054977093</v>
      </c>
      <c r="L45">
        <f t="shared" si="6"/>
        <v>-1.5001166110245838</v>
      </c>
      <c r="M45">
        <f t="shared" si="6"/>
        <v>-2.0871804569752448</v>
      </c>
    </row>
    <row r="46" spans="1:13" x14ac:dyDescent="0.25">
      <c r="A46">
        <v>3</v>
      </c>
      <c r="B46">
        <f t="shared" si="5"/>
        <v>1.7779646952704722E-20</v>
      </c>
      <c r="C46" s="1">
        <f>J24</f>
        <v>4.5748200935719756E-19</v>
      </c>
      <c r="D46">
        <f t="shared" si="6"/>
        <v>-1.5461267479490957</v>
      </c>
      <c r="E46">
        <f t="shared" si="6"/>
        <v>-1.7714954748418474</v>
      </c>
      <c r="F46">
        <f t="shared" si="6"/>
        <v>0</v>
      </c>
      <c r="G46">
        <f t="shared" si="6"/>
        <v>-1.100332446614908</v>
      </c>
      <c r="H46">
        <f t="shared" si="6"/>
        <v>-0.68594172546665166</v>
      </c>
      <c r="I46">
        <f t="shared" si="6"/>
        <v>-1.2821862083875486</v>
      </c>
      <c r="J46">
        <f t="shared" si="6"/>
        <v>-2.004912905380853</v>
      </c>
      <c r="K46">
        <f t="shared" si="6"/>
        <v>-3.8816950611852556</v>
      </c>
      <c r="L46">
        <f t="shared" si="6"/>
        <v>-2.0969029667121304</v>
      </c>
      <c r="M46">
        <f t="shared" si="6"/>
        <v>-2.6839668126627911</v>
      </c>
    </row>
    <row r="47" spans="1:13" x14ac:dyDescent="0.25">
      <c r="A47">
        <v>4</v>
      </c>
      <c r="B47">
        <f t="shared" si="5"/>
        <v>1.7779646952704722E-20</v>
      </c>
      <c r="C47" s="1">
        <f>J25</f>
        <v>4.8514900810750041E-19</v>
      </c>
      <c r="D47">
        <f t="shared" si="6"/>
        <v>-0.44579430133418757</v>
      </c>
      <c r="E47">
        <f t="shared" si="6"/>
        <v>-0.6711630282269393</v>
      </c>
      <c r="F47">
        <f t="shared" si="6"/>
        <v>1.100332446614908</v>
      </c>
      <c r="G47">
        <f t="shared" si="6"/>
        <v>0</v>
      </c>
      <c r="H47">
        <f t="shared" si="6"/>
        <v>0.41439072114825654</v>
      </c>
      <c r="I47">
        <f t="shared" si="6"/>
        <v>-0.91150313288113383</v>
      </c>
      <c r="J47">
        <f t="shared" si="6"/>
        <v>-1.6342298298744382</v>
      </c>
      <c r="K47">
        <f t="shared" si="6"/>
        <v>-3.5110119856788407</v>
      </c>
      <c r="L47">
        <f t="shared" si="6"/>
        <v>-1.7262198912057154</v>
      </c>
      <c r="M47">
        <f t="shared" si="6"/>
        <v>-2.3132837371563761</v>
      </c>
    </row>
    <row r="48" spans="1:13" x14ac:dyDescent="0.25">
      <c r="A48">
        <v>5</v>
      </c>
      <c r="B48">
        <f t="shared" si="5"/>
        <v>1.7779646952704722E-20</v>
      </c>
      <c r="C48" s="1">
        <f>J26</f>
        <v>4.7472947753797392E-19</v>
      </c>
      <c r="D48">
        <f t="shared" si="6"/>
        <v>-0.86018502248244411</v>
      </c>
      <c r="E48">
        <f t="shared" si="6"/>
        <v>-1.0855537493751959</v>
      </c>
      <c r="F48">
        <f t="shared" si="6"/>
        <v>0.68594172546665166</v>
      </c>
      <c r="G48">
        <f t="shared" si="6"/>
        <v>-0.41439072114825654</v>
      </c>
      <c r="H48">
        <f t="shared" si="6"/>
        <v>0</v>
      </c>
      <c r="I48">
        <f t="shared" si="6"/>
        <v>-1.0511042393004886</v>
      </c>
      <c r="J48">
        <f t="shared" si="6"/>
        <v>-1.773830936293793</v>
      </c>
      <c r="K48">
        <f t="shared" si="6"/>
        <v>-3.6506130920981956</v>
      </c>
      <c r="L48">
        <f t="shared" si="6"/>
        <v>-1.8658209976250704</v>
      </c>
      <c r="M48">
        <f t="shared" si="6"/>
        <v>-2.4528848435757311</v>
      </c>
    </row>
    <row r="49" spans="1:13" x14ac:dyDescent="0.25">
      <c r="A49">
        <v>6</v>
      </c>
      <c r="B49">
        <f>$L$29</f>
        <v>7.2489290393516725E-20</v>
      </c>
      <c r="C49" s="1">
        <f>O22</f>
        <v>5.5318166917212203E-19</v>
      </c>
      <c r="D49">
        <f t="shared" si="6"/>
        <v>0.7613227004398615</v>
      </c>
      <c r="E49">
        <f t="shared" si="6"/>
        <v>0.68539985270000225</v>
      </c>
      <c r="F49">
        <f t="shared" si="6"/>
        <v>1.2821862083875486</v>
      </c>
      <c r="G49">
        <f t="shared" si="6"/>
        <v>0.91150313288113383</v>
      </c>
      <c r="H49">
        <f t="shared" si="6"/>
        <v>1.0511042393004886</v>
      </c>
      <c r="I49">
        <f t="shared" si="6"/>
        <v>0</v>
      </c>
      <c r="J49">
        <f t="shared" si="6"/>
        <v>-0.5261923672917157</v>
      </c>
      <c r="K49">
        <f t="shared" si="6"/>
        <v>-1.8926126885030092</v>
      </c>
      <c r="L49">
        <f t="shared" si="6"/>
        <v>-0.59316715643481455</v>
      </c>
      <c r="M49">
        <f t="shared" si="6"/>
        <v>-1.0205880835117884</v>
      </c>
    </row>
    <row r="50" spans="1:13" x14ac:dyDescent="0.25">
      <c r="A50">
        <v>7</v>
      </c>
      <c r="B50">
        <f t="shared" ref="B50:B53" si="7">$L$29</f>
        <v>7.2489290393516725E-20</v>
      </c>
      <c r="C50" s="1">
        <f t="shared" ref="C50:C53" si="8">O23</f>
        <v>6.0712445734826639E-19</v>
      </c>
      <c r="D50">
        <f t="shared" si="6"/>
        <v>1.4840493974331659</v>
      </c>
      <c r="E50">
        <f t="shared" si="6"/>
        <v>1.4081265496933066</v>
      </c>
      <c r="F50">
        <f t="shared" si="6"/>
        <v>2.004912905380853</v>
      </c>
      <c r="G50">
        <f t="shared" si="6"/>
        <v>1.6342298298744382</v>
      </c>
      <c r="H50">
        <f t="shared" si="6"/>
        <v>1.773830936293793</v>
      </c>
      <c r="I50">
        <f t="shared" si="6"/>
        <v>0.5261923672917157</v>
      </c>
      <c r="J50">
        <f t="shared" si="6"/>
        <v>0</v>
      </c>
      <c r="K50">
        <f t="shared" si="6"/>
        <v>-1.3664203212112935</v>
      </c>
      <c r="L50">
        <f t="shared" si="6"/>
        <v>-6.6974789143098887E-2</v>
      </c>
      <c r="M50">
        <f t="shared" si="6"/>
        <v>-0.49439571622007278</v>
      </c>
    </row>
    <row r="51" spans="1:13" x14ac:dyDescent="0.25">
      <c r="A51">
        <v>8</v>
      </c>
      <c r="B51">
        <f t="shared" si="7"/>
        <v>7.2489290393516725E-20</v>
      </c>
      <c r="C51" s="1">
        <f t="shared" si="8"/>
        <v>7.4720349788253679E-19</v>
      </c>
      <c r="D51">
        <f t="shared" si="6"/>
        <v>3.3608315532375683</v>
      </c>
      <c r="E51">
        <f t="shared" si="6"/>
        <v>3.2849087054977093</v>
      </c>
      <c r="F51">
        <f t="shared" si="6"/>
        <v>3.8816950611852556</v>
      </c>
      <c r="G51">
        <f t="shared" si="6"/>
        <v>3.5110119856788407</v>
      </c>
      <c r="H51">
        <f t="shared" si="6"/>
        <v>3.6506130920981956</v>
      </c>
      <c r="I51">
        <f t="shared" si="6"/>
        <v>1.8926126885030092</v>
      </c>
      <c r="J51">
        <f t="shared" si="6"/>
        <v>1.3664203212112935</v>
      </c>
      <c r="K51">
        <f t="shared" si="6"/>
        <v>0</v>
      </c>
      <c r="L51">
        <f t="shared" si="6"/>
        <v>1.2994455320681948</v>
      </c>
      <c r="M51">
        <f t="shared" si="6"/>
        <v>0.87202460499122081</v>
      </c>
    </row>
    <row r="52" spans="1:13" x14ac:dyDescent="0.25">
      <c r="A52">
        <v>9</v>
      </c>
      <c r="B52">
        <f t="shared" si="7"/>
        <v>7.2489290393516725E-20</v>
      </c>
      <c r="C52" s="1">
        <f t="shared" si="8"/>
        <v>6.1399040046804792E-19</v>
      </c>
      <c r="D52">
        <f t="shared" si="6"/>
        <v>1.5760394587644431</v>
      </c>
      <c r="E52">
        <f t="shared" si="6"/>
        <v>1.5001166110245838</v>
      </c>
      <c r="F52">
        <f t="shared" si="6"/>
        <v>2.0969029667121304</v>
      </c>
      <c r="G52">
        <f t="shared" si="6"/>
        <v>1.7262198912057154</v>
      </c>
      <c r="H52">
        <f t="shared" si="6"/>
        <v>1.8658209976250704</v>
      </c>
      <c r="I52">
        <f t="shared" si="6"/>
        <v>0.59316715643481455</v>
      </c>
      <c r="J52">
        <f t="shared" si="6"/>
        <v>6.6974789143098887E-2</v>
      </c>
      <c r="K52">
        <f t="shared" si="6"/>
        <v>-1.2994455320681948</v>
      </c>
      <c r="L52">
        <f t="shared" si="6"/>
        <v>0</v>
      </c>
      <c r="M52">
        <f t="shared" si="6"/>
        <v>-0.42742092707697388</v>
      </c>
    </row>
    <row r="53" spans="1:13" x14ac:dyDescent="0.25">
      <c r="A53">
        <v>10</v>
      </c>
      <c r="B53">
        <f t="shared" si="7"/>
        <v>7.2489290393516725E-20</v>
      </c>
      <c r="C53" s="1">
        <f t="shared" si="8"/>
        <v>6.5780760110521012E-19</v>
      </c>
      <c r="D53">
        <f t="shared" si="6"/>
        <v>2.1631033047151038</v>
      </c>
      <c r="E53">
        <f t="shared" si="6"/>
        <v>2.0871804569752448</v>
      </c>
      <c r="F53">
        <f t="shared" si="6"/>
        <v>2.6839668126627911</v>
      </c>
      <c r="G53">
        <f t="shared" si="6"/>
        <v>2.3132837371563761</v>
      </c>
      <c r="H53">
        <f t="shared" si="6"/>
        <v>2.4528848435757311</v>
      </c>
      <c r="I53">
        <f t="shared" si="6"/>
        <v>1.0205880835117884</v>
      </c>
      <c r="J53">
        <f t="shared" si="6"/>
        <v>0.49439571622007278</v>
      </c>
      <c r="K53">
        <f t="shared" si="6"/>
        <v>-0.87202460499122081</v>
      </c>
      <c r="L53">
        <f t="shared" si="6"/>
        <v>0.42742092707697388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30" priority="3" operator="greaterThan">
      <formula>1.96</formula>
    </cfRule>
  </conditionalFormatting>
  <conditionalFormatting sqref="D35:H39">
    <cfRule type="cellIs" dxfId="29" priority="2" operator="notBetween">
      <formula>-1.96</formula>
      <formula>1.96</formula>
    </cfRule>
  </conditionalFormatting>
  <conditionalFormatting sqref="I22:I26">
    <cfRule type="cellIs" dxfId="28" priority="1" operator="notBetween">
      <formula>$J$19</formula>
      <formula>$K$19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4" zoomScaleNormal="100" workbookViewId="0">
      <selection activeCell="M22" sqref="M22:M26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  <col min="15" max="15" width="12" bestFit="1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8.1075814684205021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405</v>
      </c>
      <c r="C16">
        <f>B16/100</f>
        <v>4.05</v>
      </c>
      <c r="D16" t="s">
        <v>0</v>
      </c>
      <c r="E16">
        <f>(1.8+(B18-15)*0.004765)*0.00001</f>
        <v>1.8285900000000001E-5</v>
      </c>
    </row>
    <row r="17" spans="1:17" x14ac:dyDescent="0.25">
      <c r="A17" t="s">
        <v>23</v>
      </c>
      <c r="B17">
        <v>2.23</v>
      </c>
      <c r="D17" t="s">
        <v>1</v>
      </c>
      <c r="E17" s="2">
        <f>E16/(1+$B$10/($B$7*B29))</f>
        <v>1.6458568047763762E-5</v>
      </c>
    </row>
    <row r="18" spans="1:17" x14ac:dyDescent="0.25">
      <c r="A18" t="s">
        <v>24</v>
      </c>
      <c r="B18">
        <v>21</v>
      </c>
      <c r="D18" t="s">
        <v>32</v>
      </c>
      <c r="E18" s="1">
        <f>B16/B5</f>
        <v>54508.748317631216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2.8024482595990564E-4</v>
      </c>
      <c r="I19">
        <f>_xlfn.STDEV.S(H22:H26)</f>
        <v>3.2095230337903553E-5</v>
      </c>
      <c r="J19" s="1">
        <f>H19-2*I19</f>
        <v>2.1605436528409852E-4</v>
      </c>
      <c r="K19" s="1">
        <f>H19+2*I19</f>
        <v>3.4443528663571276E-4</v>
      </c>
      <c r="M19" t="s">
        <v>44</v>
      </c>
      <c r="N19" s="1">
        <f>AVERAGE(L22:L26)</f>
        <v>3.6071022023579513E-4</v>
      </c>
      <c r="O19">
        <f>_xlfn.STDEV.S(L22:L26)</f>
        <v>5.4124590285234042E-5</v>
      </c>
      <c r="P19" s="1">
        <f>N19-2*O19</f>
        <v>2.5246103966532706E-4</v>
      </c>
      <c r="Q19" s="1">
        <f>N19+2*O19</f>
        <v>4.689594008062632E-4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7" x14ac:dyDescent="0.25">
      <c r="A22">
        <v>1</v>
      </c>
      <c r="B22">
        <v>7.81</v>
      </c>
      <c r="C22" s="1">
        <f>B12/B22</f>
        <v>6.4020486555697832E-5</v>
      </c>
      <c r="D22">
        <f>(($B$10/(2*$B$7))^2+9*E16*C22/(2*$B$6*($B$9-$B$8)))^(1/2)-$B$10/(2*$B$7)</f>
        <v>7.5153543143602621E-7</v>
      </c>
      <c r="E22" s="1">
        <f>(D22+$B$10/(2*$B$7))^(-1)*9*E16/(2*$B$6*($B$9-$B$8))*1/2*C28</f>
        <v>1.139993646904569E-8</v>
      </c>
      <c r="F22" s="1"/>
      <c r="G22">
        <v>42.63</v>
      </c>
      <c r="H22" s="1">
        <f>$B$12/(G22-B26)</f>
        <v>2.4390243902438973E-4</v>
      </c>
      <c r="I22" s="1">
        <f>(4*PI()/3)*B29^3*($B$9-$B$8)*($B$6/E18)*(1+ABS(H22)/B28)</f>
        <v>1.2391936023031675E-18</v>
      </c>
      <c r="K22">
        <v>51.39</v>
      </c>
      <c r="L22" s="1">
        <f>B12/(K22-G26)</f>
        <v>2.7777777777777821E-4</v>
      </c>
      <c r="M22" s="1">
        <f>-(4*PI()/3)*B29^3*($B$9-$B$8)*($B$6/$E$18)*(1-ABS(L22)/B28)</f>
        <v>8.7531036136218174E-19</v>
      </c>
    </row>
    <row r="23" spans="1:17" x14ac:dyDescent="0.25">
      <c r="A23">
        <v>2</v>
      </c>
      <c r="B23">
        <v>15.23</v>
      </c>
      <c r="C23" s="1">
        <f>$B$12/(B23-B22)</f>
        <v>6.7385444743935303E-5</v>
      </c>
      <c r="E23" s="1"/>
      <c r="F23" s="1"/>
      <c r="G23">
        <v>44.14</v>
      </c>
      <c r="H23" s="1">
        <f>$B$12/(G23-G22)</f>
        <v>3.3112582781456997E-4</v>
      </c>
      <c r="I23" s="1">
        <f>(4*PI()/3)*B29^3*($B$9-$B$8)*($B$6/E18)*(1+ABS(H23)/B28)</f>
        <v>1.5927324089915211E-18</v>
      </c>
      <c r="K23">
        <v>52.74</v>
      </c>
      <c r="L23" s="1">
        <f>$B$12/(K23-K22)</f>
        <v>3.7037037037036997E-4</v>
      </c>
      <c r="M23" s="1">
        <f>-(4*PI()/3)*B29^3*($B$9-$B$8)*($B$6/$E$18)*(1-ABS(L23)/B28)</f>
        <v>1.2506119306707468E-18</v>
      </c>
    </row>
    <row r="24" spans="1:17" x14ac:dyDescent="0.25">
      <c r="A24">
        <v>3</v>
      </c>
      <c r="B24">
        <v>23.84</v>
      </c>
      <c r="C24" s="1">
        <f t="shared" ref="C24:C26" si="0">$B$12/(B24-B23)</f>
        <v>5.8072009291521493E-5</v>
      </c>
      <c r="D24">
        <f>(($B$10/(2*$B$7))^2+9*E16*C24/(2*$B$6*($B$9-$B$8)))^(1/2)-$B$10/(2*$B$7)</f>
        <v>7.139450114225901E-7</v>
      </c>
      <c r="E24" s="1">
        <f>(D24+$B$10/(2*$B$7))^(-1)*9*E16/(2*$B$6*($B$9-$B$8))*1/2*C28</f>
        <v>1.1967968500051302E-8</v>
      </c>
      <c r="F24" s="1"/>
      <c r="G24">
        <v>45.9</v>
      </c>
      <c r="H24" s="1">
        <f>$B$12/(G24-G23)</f>
        <v>2.840909090909094E-4</v>
      </c>
      <c r="I24" s="1">
        <f>(4*PI()/3)*B29^3*($B$9-$B$8)*($B$6/E18)*(1+ABS(H24)/B28)</f>
        <v>1.4020877978511803E-18</v>
      </c>
      <c r="K24">
        <v>53.91</v>
      </c>
      <c r="L24" s="1">
        <f>$B$12/(K24-K23)</f>
        <v>4.2735042735042936E-4</v>
      </c>
      <c r="M24" s="1">
        <f>-(4*PI()/3)*B29^3*($B$9-$B$8)*($B$6/E18)*(1-ABS(L24)/B28)</f>
        <v>1.4815667425529525E-18</v>
      </c>
    </row>
    <row r="25" spans="1:17" x14ac:dyDescent="0.25">
      <c r="A25">
        <v>4</v>
      </c>
      <c r="B25">
        <v>32.53</v>
      </c>
      <c r="C25" s="1">
        <f t="shared" si="0"/>
        <v>5.7537399309551199E-5</v>
      </c>
      <c r="D25">
        <f>(($B$10/(2*$B$7))^2+9*E16*C25/(2*$B$6*($B$9-$B$8)))^(1/2)-$B$10/(2*$B$7)</f>
        <v>7.1047448075290396E-7</v>
      </c>
      <c r="E25" s="1">
        <f>(D25+$B$10/(2*$B$7))^(-1)*9*E16/(2*$B$6*($B$9-$B$8))*1/2*C28</f>
        <v>1.2023279568636589E-8</v>
      </c>
      <c r="F25" s="1"/>
      <c r="G25">
        <v>47.77</v>
      </c>
      <c r="H25" s="1">
        <f>$B$12/(G25-G24)</f>
        <v>2.6737967914438438E-4</v>
      </c>
      <c r="I25" s="1">
        <f>(4*PI()/3)*B29^3*($B$9-$B$8)*($B$6/E18)*(1+ABS(H25)/B28)</f>
        <v>1.3343528889519029E-18</v>
      </c>
      <c r="K25">
        <v>55.33</v>
      </c>
      <c r="L25" s="1">
        <f t="shared" ref="L25:L26" si="1">$B$12/(K25-K24)</f>
        <v>3.5211267605633761E-4</v>
      </c>
      <c r="M25" s="1">
        <f>-(4*PI()/3)*B29^3*($B$9-$B$8)*($B$6/E18)*(1-ABS(L25)/B28)</f>
        <v>1.176608804328212E-18</v>
      </c>
    </row>
    <row r="26" spans="1:17" x14ac:dyDescent="0.25">
      <c r="A26">
        <v>5</v>
      </c>
      <c r="B26">
        <v>40.58</v>
      </c>
      <c r="C26" s="1">
        <f t="shared" si="0"/>
        <v>6.2111801242236054E-5</v>
      </c>
      <c r="D26">
        <f>(($B$10/(2*$B$7))^2+9*E16*C26/(2*$B$6*($B$9-$B$8)))^(1/2)-$B$10/(2*$B$7)</f>
        <v>7.3967118429879613E-7</v>
      </c>
      <c r="E26" s="1">
        <f>(D26+$B$10/(2*$B$7))^(-1)*9*E16/(2*$B$6*($B$9-$B$8))*1/2*C28</f>
        <v>1.1573306023018837E-8</v>
      </c>
      <c r="F26" s="1"/>
      <c r="G26">
        <v>49.59</v>
      </c>
      <c r="H26" s="1">
        <f>$B$12/(G26-G25)</f>
        <v>2.7472527472527467E-4</v>
      </c>
      <c r="I26" s="1">
        <f>(4*PI()/3)*B29^3*($B$9-$B$8)*($B$6/E18)*(1+ABS(H26)/B28)</f>
        <v>1.3641264752812564E-18</v>
      </c>
      <c r="K26">
        <v>56.66</v>
      </c>
      <c r="L26" s="1">
        <f t="shared" si="1"/>
        <v>3.7593984962406066E-4</v>
      </c>
      <c r="M26" s="1">
        <f>-(4*PI()/3)*B29^3*($B$9-$B$8)*($B$6/E18)*(1-ABS(L26)/B28)</f>
        <v>1.2731864611554765E-18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6.1825428228588384E-5</v>
      </c>
      <c r="C28" s="1">
        <f>_xlfn.STDEV.S(C22:C26)/SQRT(COUNT(C22:C26))</f>
        <v>1.8478287250300041E-6</v>
      </c>
      <c r="F28" t="str">
        <f>J28</f>
        <v>Velocità</v>
      </c>
      <c r="G28" s="1">
        <f>AVERAGE(H22:H26)</f>
        <v>2.8024482595990564E-4</v>
      </c>
      <c r="H28" s="1">
        <f>_xlfn.STDEV.S(H22:H26)</f>
        <v>3.2095230337903553E-5</v>
      </c>
      <c r="I28" s="2">
        <f>H28/SQRT(5)</f>
        <v>1.4353423357813177E-5</v>
      </c>
      <c r="J28" t="s">
        <v>27</v>
      </c>
      <c r="K28" s="1">
        <f>AVERAGE(L22:L26)</f>
        <v>3.6071022023579513E-4</v>
      </c>
      <c r="L28" s="1">
        <f>_xlfn.STDEV.S(L22:L26)</f>
        <v>5.4124590285234042E-5</v>
      </c>
      <c r="M28" s="2">
        <f>L28/SQRT(5)</f>
        <v>2.4205252626421609E-5</v>
      </c>
    </row>
    <row r="29" spans="1:17" x14ac:dyDescent="0.25">
      <c r="A29" t="s">
        <v>5</v>
      </c>
      <c r="B29">
        <f>AVERAGE(D22:D26)</f>
        <v>7.2890652697757902E-7</v>
      </c>
      <c r="C29">
        <f>_xlfn.STDEV.S(D22:D26)/SQRT(COUNT(D22:D26))</f>
        <v>9.9646560400727397E-9</v>
      </c>
      <c r="D29" s="1">
        <f>(B29+$B$10/(2*$B$7))^(-1)*9*E16/(2*$B$6*($B$9-$B$8))*1/2*C28</f>
        <v>1.1735234109285356E-8</v>
      </c>
      <c r="F29" t="str">
        <f>J29</f>
        <v>Carica</v>
      </c>
      <c r="G29">
        <f>AVERAGE(I22:I26)</f>
        <v>1.3864986346758058E-18</v>
      </c>
      <c r="H29">
        <f>_xlfn.STDEV.S(I22:I26)</f>
        <v>1.3009021538186002E-19</v>
      </c>
      <c r="I29" s="2">
        <f>H29/SQRT(5)</f>
        <v>5.817811296028555E-20</v>
      </c>
      <c r="J29" t="s">
        <v>33</v>
      </c>
      <c r="K29">
        <f>AVERAGE(M22:M26)</f>
        <v>1.211456860013914E-18</v>
      </c>
      <c r="L29">
        <f>_xlfn.STDEV.S(M22:M26)</f>
        <v>2.1938087166010165E-19</v>
      </c>
      <c r="M29" s="2">
        <f>L29/SQRT(5)</f>
        <v>9.811010839902888E-20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1.139993646904569E-8</v>
      </c>
      <c r="E33">
        <v>0</v>
      </c>
      <c r="F33">
        <v>1.1967968500051302E-8</v>
      </c>
      <c r="G33">
        <v>1.2023279568636589E-8</v>
      </c>
      <c r="H33">
        <v>1.1573306023018837E-8</v>
      </c>
    </row>
    <row r="34" spans="1:13" x14ac:dyDescent="0.25">
      <c r="C34" t="s">
        <v>21</v>
      </c>
      <c r="D34">
        <v>7.5153543143602621E-7</v>
      </c>
      <c r="E34">
        <v>0</v>
      </c>
      <c r="F34">
        <v>7.139450114225901E-7</v>
      </c>
      <c r="G34">
        <v>7.1047448075290396E-7</v>
      </c>
      <c r="H34">
        <v>7.3967118429879613E-7</v>
      </c>
    </row>
    <row r="35" spans="1:13" x14ac:dyDescent="0.25">
      <c r="A35">
        <v>1</v>
      </c>
      <c r="B35" s="1">
        <f>E22</f>
        <v>1.139993646904569E-8</v>
      </c>
      <c r="C35">
        <f>D22</f>
        <v>7.5153543143602621E-7</v>
      </c>
      <c r="D35">
        <f t="shared" ref="D35:H39" si="2">($C35-D$34)/SQRT($B35^2+D$33^2)</f>
        <v>0</v>
      </c>
      <c r="E35">
        <f t="shared" si="2"/>
        <v>65.924528042474137</v>
      </c>
      <c r="F35">
        <f t="shared" si="2"/>
        <v>2.2742810161426465</v>
      </c>
      <c r="G35">
        <f t="shared" si="2"/>
        <v>2.4782421719018739</v>
      </c>
      <c r="H35">
        <f t="shared" si="2"/>
        <v>0.73033231843085034</v>
      </c>
    </row>
    <row r="36" spans="1:13" x14ac:dyDescent="0.25">
      <c r="A36">
        <v>2</v>
      </c>
      <c r="B36">
        <f>E23</f>
        <v>0</v>
      </c>
      <c r="C36">
        <f>D23</f>
        <v>0</v>
      </c>
      <c r="D36">
        <f t="shared" si="2"/>
        <v>-65.924528042474137</v>
      </c>
      <c r="E36" t="e">
        <f t="shared" si="2"/>
        <v>#DIV/0!</v>
      </c>
      <c r="F36">
        <f t="shared" si="2"/>
        <v>-59.654653287191536</v>
      </c>
      <c r="G36">
        <f t="shared" si="2"/>
        <v>-59.091571205431933</v>
      </c>
      <c r="H36">
        <f t="shared" si="2"/>
        <v>-63.911831487702827</v>
      </c>
    </row>
    <row r="37" spans="1:13" x14ac:dyDescent="0.25">
      <c r="A37">
        <v>3</v>
      </c>
      <c r="B37">
        <f>E24</f>
        <v>1.1967968500051302E-8</v>
      </c>
      <c r="C37">
        <f>D24</f>
        <v>7.139450114225901E-7</v>
      </c>
      <c r="D37">
        <f t="shared" si="2"/>
        <v>-2.2742810161426465</v>
      </c>
      <c r="E37">
        <f t="shared" si="2"/>
        <v>59.654653287191536</v>
      </c>
      <c r="F37">
        <f t="shared" si="2"/>
        <v>0</v>
      </c>
      <c r="G37">
        <f t="shared" si="2"/>
        <v>0.20457703926227344</v>
      </c>
      <c r="H37">
        <f t="shared" si="2"/>
        <v>-1.5452515500971042</v>
      </c>
    </row>
    <row r="38" spans="1:13" x14ac:dyDescent="0.25">
      <c r="A38">
        <v>4</v>
      </c>
      <c r="B38">
        <f>E25</f>
        <v>1.2023279568636589E-8</v>
      </c>
      <c r="C38">
        <f>D25</f>
        <v>7.1047448075290396E-7</v>
      </c>
      <c r="D38">
        <f t="shared" si="2"/>
        <v>-2.4782421719018739</v>
      </c>
      <c r="E38">
        <f t="shared" si="2"/>
        <v>59.091571205431933</v>
      </c>
      <c r="F38">
        <f t="shared" si="2"/>
        <v>-0.20457703926227344</v>
      </c>
      <c r="G38">
        <f t="shared" si="2"/>
        <v>0</v>
      </c>
      <c r="H38">
        <f t="shared" si="2"/>
        <v>-1.7495272158362014</v>
      </c>
    </row>
    <row r="39" spans="1:13" x14ac:dyDescent="0.25">
      <c r="A39">
        <v>5</v>
      </c>
      <c r="B39">
        <f>E26</f>
        <v>1.1573306023018837E-8</v>
      </c>
      <c r="C39">
        <f>D26</f>
        <v>7.3967118429879613E-7</v>
      </c>
      <c r="D39">
        <f t="shared" si="2"/>
        <v>-0.73033231843085034</v>
      </c>
      <c r="E39">
        <f t="shared" si="2"/>
        <v>63.911831487702827</v>
      </c>
      <c r="F39">
        <f t="shared" si="2"/>
        <v>1.5452515500971042</v>
      </c>
      <c r="G39">
        <f t="shared" si="2"/>
        <v>1.7495272158362014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1.3009021538186002E-19</v>
      </c>
      <c r="E42">
        <v>1.3009021538186002E-19</v>
      </c>
      <c r="F42">
        <v>1.3009021538186002E-19</v>
      </c>
      <c r="G42">
        <v>1.3009021538186002E-19</v>
      </c>
      <c r="H42">
        <v>1.3009021538186002E-19</v>
      </c>
      <c r="I42">
        <v>2.1938087166010165E-19</v>
      </c>
      <c r="J42">
        <v>2.1938087166010165E-19</v>
      </c>
      <c r="K42">
        <v>2.1938087166010165E-19</v>
      </c>
      <c r="L42">
        <v>2.1938087166010165E-19</v>
      </c>
      <c r="M42">
        <v>2.1938087166010165E-19</v>
      </c>
    </row>
    <row r="43" spans="1:13" x14ac:dyDescent="0.25">
      <c r="C43" t="s">
        <v>35</v>
      </c>
      <c r="D43">
        <v>1.2391936023031675E-18</v>
      </c>
      <c r="E43">
        <v>1.5927324089915211E-18</v>
      </c>
      <c r="F43">
        <v>1.4020877978511803E-18</v>
      </c>
      <c r="G43">
        <v>1.3343528889519029E-18</v>
      </c>
      <c r="H43">
        <v>1.3641264752812564E-18</v>
      </c>
      <c r="I43">
        <v>8.7531036136218174E-19</v>
      </c>
      <c r="J43">
        <v>1.2506119306707468E-18</v>
      </c>
      <c r="K43">
        <v>1.4815667425529525E-18</v>
      </c>
      <c r="L43">
        <v>1.176608804328212E-18</v>
      </c>
      <c r="M43">
        <v>1.2731864611554765E-18</v>
      </c>
    </row>
    <row r="44" spans="1:13" x14ac:dyDescent="0.25">
      <c r="A44">
        <v>1</v>
      </c>
      <c r="B44">
        <f>$H$29</f>
        <v>1.3009021538186002E-19</v>
      </c>
      <c r="C44" s="1">
        <f>I22</f>
        <v>1.2391936023031675E-18</v>
      </c>
      <c r="D44">
        <f>($C44-D$43)/SQRT($B44^2+D$42^2)</f>
        <v>0</v>
      </c>
      <c r="E44">
        <f t="shared" ref="E44:M44" si="3">($C44-E$43)/SQRT($B44^2+E$42^2)</f>
        <v>-1.9216640305201134</v>
      </c>
      <c r="F44">
        <f t="shared" si="3"/>
        <v>-0.88541317231141115</v>
      </c>
      <c r="G44">
        <f t="shared" si="3"/>
        <v>-0.51723933798312405</v>
      </c>
      <c r="H44">
        <f t="shared" si="3"/>
        <v>-0.67907399043512295</v>
      </c>
      <c r="I44">
        <f t="shared" si="3"/>
        <v>1.4267031721339456</v>
      </c>
      <c r="J44">
        <f t="shared" si="3"/>
        <v>-4.4768660574654943E-2</v>
      </c>
      <c r="K44">
        <f t="shared" si="3"/>
        <v>-0.95028978839537881</v>
      </c>
      <c r="L44">
        <f t="shared" si="3"/>
        <v>0.24538071488901581</v>
      </c>
      <c r="M44">
        <f t="shared" si="3"/>
        <v>-0.1332782444969926</v>
      </c>
    </row>
    <row r="45" spans="1:13" x14ac:dyDescent="0.25">
      <c r="A45">
        <v>2</v>
      </c>
      <c r="B45">
        <f t="shared" ref="B45:B48" si="4">$H$29</f>
        <v>1.3009021538186002E-19</v>
      </c>
      <c r="C45" s="1">
        <f t="shared" ref="C45:C48" si="5">I23</f>
        <v>1.5927324089915211E-18</v>
      </c>
      <c r="D45">
        <f t="shared" ref="D45:M53" si="6">($C45-D$43)/SQRT($B45^2+D$42^2)</f>
        <v>1.9216640305201134</v>
      </c>
      <c r="E45">
        <f t="shared" si="6"/>
        <v>0</v>
      </c>
      <c r="F45">
        <f t="shared" si="6"/>
        <v>1.0362508582087022</v>
      </c>
      <c r="G45">
        <f t="shared" si="6"/>
        <v>1.4044246925369894</v>
      </c>
      <c r="H45">
        <f t="shared" si="6"/>
        <v>1.2425900400849905</v>
      </c>
      <c r="I45">
        <f t="shared" si="6"/>
        <v>2.8128481775218859</v>
      </c>
      <c r="J45">
        <f t="shared" si="6"/>
        <v>1.3413763448132852</v>
      </c>
      <c r="K45">
        <f t="shared" si="6"/>
        <v>0.43585521699256141</v>
      </c>
      <c r="L45">
        <f t="shared" si="6"/>
        <v>1.631525720276956</v>
      </c>
      <c r="M45">
        <f t="shared" si="6"/>
        <v>1.2528667608909476</v>
      </c>
    </row>
    <row r="46" spans="1:13" x14ac:dyDescent="0.25">
      <c r="A46">
        <v>3</v>
      </c>
      <c r="B46">
        <f t="shared" si="4"/>
        <v>1.3009021538186002E-19</v>
      </c>
      <c r="C46" s="1">
        <f t="shared" si="5"/>
        <v>1.4020877978511803E-18</v>
      </c>
      <c r="D46">
        <f t="shared" si="6"/>
        <v>0.88541317231141115</v>
      </c>
      <c r="E46">
        <f t="shared" si="6"/>
        <v>-1.0362508582087022</v>
      </c>
      <c r="F46">
        <f t="shared" si="6"/>
        <v>0</v>
      </c>
      <c r="G46">
        <f t="shared" si="6"/>
        <v>0.36817383432828704</v>
      </c>
      <c r="H46">
        <f t="shared" si="6"/>
        <v>0.20633918187628816</v>
      </c>
      <c r="I46">
        <f t="shared" si="6"/>
        <v>2.065374150521345</v>
      </c>
      <c r="J46">
        <f t="shared" si="6"/>
        <v>0.5939023178127445</v>
      </c>
      <c r="K46">
        <f t="shared" si="6"/>
        <v>-0.31161881000797942</v>
      </c>
      <c r="L46">
        <f t="shared" si="6"/>
        <v>0.8840516932764152</v>
      </c>
      <c r="M46">
        <f t="shared" si="6"/>
        <v>0.50539273389040684</v>
      </c>
    </row>
    <row r="47" spans="1:13" x14ac:dyDescent="0.25">
      <c r="A47">
        <v>4</v>
      </c>
      <c r="B47">
        <f t="shared" si="4"/>
        <v>1.3009021538186002E-19</v>
      </c>
      <c r="C47" s="1">
        <f t="shared" si="5"/>
        <v>1.3343528889519029E-18</v>
      </c>
      <c r="D47">
        <f t="shared" si="6"/>
        <v>0.51723933798312405</v>
      </c>
      <c r="E47">
        <f t="shared" si="6"/>
        <v>-1.4044246925369894</v>
      </c>
      <c r="F47">
        <f t="shared" si="6"/>
        <v>-0.36817383432828704</v>
      </c>
      <c r="G47">
        <f t="shared" si="6"/>
        <v>0</v>
      </c>
      <c r="H47">
        <f t="shared" si="6"/>
        <v>-0.16183465245199888</v>
      </c>
      <c r="I47">
        <f t="shared" si="6"/>
        <v>1.7998010256340806</v>
      </c>
      <c r="J47">
        <f t="shared" si="6"/>
        <v>0.32832919292548002</v>
      </c>
      <c r="K47">
        <f t="shared" si="6"/>
        <v>-0.57719193489524379</v>
      </c>
      <c r="L47">
        <f t="shared" si="6"/>
        <v>0.61847856838915083</v>
      </c>
      <c r="M47">
        <f t="shared" si="6"/>
        <v>0.23981960900314236</v>
      </c>
    </row>
    <row r="48" spans="1:13" x14ac:dyDescent="0.25">
      <c r="A48">
        <v>5</v>
      </c>
      <c r="B48">
        <f t="shared" si="4"/>
        <v>1.3009021538186002E-19</v>
      </c>
      <c r="C48" s="1">
        <f t="shared" si="5"/>
        <v>1.3641264752812564E-18</v>
      </c>
      <c r="D48">
        <f t="shared" si="6"/>
        <v>0.67907399043512295</v>
      </c>
      <c r="E48">
        <f t="shared" si="6"/>
        <v>-1.2425900400849905</v>
      </c>
      <c r="F48">
        <f t="shared" si="6"/>
        <v>-0.20633918187628816</v>
      </c>
      <c r="G48">
        <f t="shared" si="6"/>
        <v>0.16183465245199888</v>
      </c>
      <c r="H48">
        <f t="shared" si="6"/>
        <v>0</v>
      </c>
      <c r="I48">
        <f t="shared" si="6"/>
        <v>1.9165364651449692</v>
      </c>
      <c r="J48">
        <f t="shared" si="6"/>
        <v>0.44506463243636879</v>
      </c>
      <c r="K48">
        <f t="shared" si="6"/>
        <v>-0.46045649538435507</v>
      </c>
      <c r="L48">
        <f t="shared" si="6"/>
        <v>0.73521400790003955</v>
      </c>
      <c r="M48">
        <f t="shared" si="6"/>
        <v>0.35655504851403114</v>
      </c>
    </row>
    <row r="49" spans="1:13" x14ac:dyDescent="0.25">
      <c r="A49">
        <v>6</v>
      </c>
      <c r="B49">
        <f>$L$29</f>
        <v>2.1938087166010165E-19</v>
      </c>
      <c r="C49" s="1">
        <f>M22</f>
        <v>8.7531036136218174E-19</v>
      </c>
      <c r="D49">
        <f t="shared" si="6"/>
        <v>-1.4267031721339456</v>
      </c>
      <c r="E49">
        <f t="shared" si="6"/>
        <v>-2.8128481775218859</v>
      </c>
      <c r="F49">
        <f t="shared" si="6"/>
        <v>-2.065374150521345</v>
      </c>
      <c r="G49">
        <f t="shared" si="6"/>
        <v>-1.7998010256340806</v>
      </c>
      <c r="H49">
        <f t="shared" si="6"/>
        <v>-1.9165364651449692</v>
      </c>
      <c r="I49">
        <f t="shared" si="6"/>
        <v>0</v>
      </c>
      <c r="J49">
        <f t="shared" si="6"/>
        <v>-1.2096692051584332</v>
      </c>
      <c r="K49">
        <f t="shared" si="6"/>
        <v>-1.9540810237175072</v>
      </c>
      <c r="L49">
        <f t="shared" si="6"/>
        <v>-0.97114288301451424</v>
      </c>
      <c r="M49">
        <f t="shared" si="6"/>
        <v>-1.282431262611585</v>
      </c>
    </row>
    <row r="50" spans="1:13" x14ac:dyDescent="0.25">
      <c r="A50">
        <v>7</v>
      </c>
      <c r="B50">
        <f t="shared" ref="B50:B53" si="7">$L$29</f>
        <v>2.1938087166010165E-19</v>
      </c>
      <c r="C50" s="1">
        <f t="shared" ref="C50:C53" si="8">M23</f>
        <v>1.2506119306707468E-18</v>
      </c>
      <c r="D50">
        <f t="shared" si="6"/>
        <v>4.4768660574654943E-2</v>
      </c>
      <c r="E50">
        <f t="shared" si="6"/>
        <v>-1.3413763448132852</v>
      </c>
      <c r="F50">
        <f t="shared" si="6"/>
        <v>-0.5939023178127445</v>
      </c>
      <c r="G50">
        <f t="shared" si="6"/>
        <v>-0.32832919292548002</v>
      </c>
      <c r="H50">
        <f t="shared" si="6"/>
        <v>-0.44506463243636879</v>
      </c>
      <c r="I50">
        <f t="shared" si="6"/>
        <v>1.2096692051584332</v>
      </c>
      <c r="J50">
        <f t="shared" si="6"/>
        <v>0</v>
      </c>
      <c r="K50">
        <f t="shared" si="6"/>
        <v>-0.74441181855907412</v>
      </c>
      <c r="L50">
        <f t="shared" si="6"/>
        <v>0.23852632214391892</v>
      </c>
      <c r="M50">
        <f t="shared" si="6"/>
        <v>-7.2762057453151854E-2</v>
      </c>
    </row>
    <row r="51" spans="1:13" x14ac:dyDescent="0.25">
      <c r="A51">
        <v>8</v>
      </c>
      <c r="B51">
        <f t="shared" si="7"/>
        <v>2.1938087166010165E-19</v>
      </c>
      <c r="C51" s="1">
        <f t="shared" si="8"/>
        <v>1.4815667425529525E-18</v>
      </c>
      <c r="D51">
        <f t="shared" si="6"/>
        <v>0.95028978839537881</v>
      </c>
      <c r="E51">
        <f t="shared" si="6"/>
        <v>-0.43585521699256141</v>
      </c>
      <c r="F51">
        <f t="shared" si="6"/>
        <v>0.31161881000797942</v>
      </c>
      <c r="G51">
        <f t="shared" si="6"/>
        <v>0.57719193489524379</v>
      </c>
      <c r="H51">
        <f t="shared" si="6"/>
        <v>0.46045649538435507</v>
      </c>
      <c r="I51">
        <f t="shared" si="6"/>
        <v>1.9540810237175072</v>
      </c>
      <c r="J51">
        <f t="shared" si="6"/>
        <v>0.74441181855907412</v>
      </c>
      <c r="K51">
        <f t="shared" si="6"/>
        <v>0</v>
      </c>
      <c r="L51">
        <f t="shared" si="6"/>
        <v>0.98293814070299301</v>
      </c>
      <c r="M51">
        <f t="shared" si="6"/>
        <v>0.67164976110592234</v>
      </c>
    </row>
    <row r="52" spans="1:13" x14ac:dyDescent="0.25">
      <c r="A52">
        <v>9</v>
      </c>
      <c r="B52">
        <f t="shared" si="7"/>
        <v>2.1938087166010165E-19</v>
      </c>
      <c r="C52" s="1">
        <f t="shared" si="8"/>
        <v>1.176608804328212E-18</v>
      </c>
      <c r="D52">
        <f t="shared" si="6"/>
        <v>-0.24538071488901581</v>
      </c>
      <c r="E52">
        <f t="shared" si="6"/>
        <v>-1.631525720276956</v>
      </c>
      <c r="F52">
        <f t="shared" si="6"/>
        <v>-0.8840516932764152</v>
      </c>
      <c r="G52">
        <f t="shared" si="6"/>
        <v>-0.61847856838915083</v>
      </c>
      <c r="H52">
        <f t="shared" si="6"/>
        <v>-0.73521400790003955</v>
      </c>
      <c r="I52">
        <f t="shared" si="6"/>
        <v>0.97114288301451424</v>
      </c>
      <c r="J52">
        <f t="shared" si="6"/>
        <v>-0.23852632214391892</v>
      </c>
      <c r="K52">
        <f t="shared" si="6"/>
        <v>-0.98293814070299301</v>
      </c>
      <c r="L52">
        <f t="shared" si="6"/>
        <v>0</v>
      </c>
      <c r="M52">
        <f t="shared" si="6"/>
        <v>-0.31128837959707079</v>
      </c>
    </row>
    <row r="53" spans="1:13" x14ac:dyDescent="0.25">
      <c r="A53">
        <v>10</v>
      </c>
      <c r="B53">
        <f t="shared" si="7"/>
        <v>2.1938087166010165E-19</v>
      </c>
      <c r="C53" s="1">
        <f t="shared" si="8"/>
        <v>1.2731864611554765E-18</v>
      </c>
      <c r="D53">
        <f t="shared" si="6"/>
        <v>0.1332782444969926</v>
      </c>
      <c r="E53">
        <f t="shared" si="6"/>
        <v>-1.2528667608909476</v>
      </c>
      <c r="F53">
        <f t="shared" si="6"/>
        <v>-0.50539273389040684</v>
      </c>
      <c r="G53">
        <f t="shared" si="6"/>
        <v>-0.23981960900314236</v>
      </c>
      <c r="H53">
        <f t="shared" si="6"/>
        <v>-0.35655504851403114</v>
      </c>
      <c r="I53">
        <f t="shared" si="6"/>
        <v>1.282431262611585</v>
      </c>
      <c r="J53">
        <f t="shared" si="6"/>
        <v>7.2762057453151854E-2</v>
      </c>
      <c r="K53">
        <f t="shared" si="6"/>
        <v>-0.67164976110592234</v>
      </c>
      <c r="L53">
        <f t="shared" si="6"/>
        <v>0.31128837959707079</v>
      </c>
      <c r="M53">
        <f t="shared" si="6"/>
        <v>0</v>
      </c>
    </row>
  </sheetData>
  <mergeCells count="2">
    <mergeCell ref="A1:C2"/>
    <mergeCell ref="A14:C15"/>
  </mergeCells>
  <conditionalFormatting sqref="D49:M53 I44:M48">
    <cfRule type="cellIs" dxfId="27" priority="3" operator="greaterThan">
      <formula>1.96</formula>
    </cfRule>
  </conditionalFormatting>
  <conditionalFormatting sqref="D35:H39">
    <cfRule type="cellIs" dxfId="26" priority="2" operator="notBetween">
      <formula>-1.96</formula>
      <formula>1.96</formula>
    </cfRule>
  </conditionalFormatting>
  <conditionalFormatting sqref="D44:H48">
    <cfRule type="cellIs" dxfId="25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5" zoomScaleNormal="100" workbookViewId="0">
      <selection activeCell="D35" sqref="D35:H3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7.3524838401096941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7" x14ac:dyDescent="0.25">
      <c r="A17" t="s">
        <v>23</v>
      </c>
      <c r="B17">
        <v>2.25</v>
      </c>
      <c r="D17" t="s">
        <v>1</v>
      </c>
      <c r="E17" s="2">
        <f>E16/(1+$B$10/($B$7*B29))</f>
        <v>1.6062032847884497E-5</v>
      </c>
    </row>
    <row r="18" spans="1:17" x14ac:dyDescent="0.25">
      <c r="A18" t="s">
        <v>24</v>
      </c>
      <c r="B18">
        <v>20.5</v>
      </c>
      <c r="D18" t="s">
        <v>32</v>
      </c>
      <c r="E18" s="1">
        <f>B16/B5</f>
        <v>26917.900403768504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1.3561312895228302E-4</v>
      </c>
      <c r="I19">
        <f>_xlfn.STDEV.S(H22:H26)</f>
        <v>1.222683256763511E-5</v>
      </c>
      <c r="J19" s="1">
        <f>H19-2*I19</f>
        <v>1.111594638170128E-4</v>
      </c>
      <c r="K19" s="1">
        <f>H19+2*I19</f>
        <v>1.6006679408755325E-4</v>
      </c>
      <c r="M19" t="s">
        <v>44</v>
      </c>
      <c r="N19" s="1">
        <f>AVERAGE(L22:L26)</f>
        <v>2.115676928887947E-4</v>
      </c>
      <c r="O19">
        <f>_xlfn.STDEV.S(L22:L26)</f>
        <v>1.2948897671416375E-5</v>
      </c>
      <c r="P19" s="1">
        <f>N19-2*O19</f>
        <v>1.8566989754596194E-4</v>
      </c>
      <c r="Q19" s="1">
        <f>N19+2*O19</f>
        <v>2.3746548823162745E-4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7" x14ac:dyDescent="0.25">
      <c r="A22">
        <v>1</v>
      </c>
      <c r="B22">
        <v>12.15</v>
      </c>
      <c r="C22" s="1">
        <f>B12/B22</f>
        <v>4.1152263374485593E-5</v>
      </c>
      <c r="D22">
        <f>(($B$10/(2*$B$7))^2+9*E16*C22/(2*$B$6*($B$9-$B$8)))^(1/2)-$B$10/(2*$B$7)</f>
        <v>5.9456718816520613E-7</v>
      </c>
      <c r="E22" s="1">
        <f>(D22+$B$10/(2*$B$7))^(-1)*9*E16/(2*$B$6*($B$9-$B$8))*1/2*C28</f>
        <v>6.9436201676468765E-9</v>
      </c>
      <c r="F22" s="1"/>
      <c r="G22">
        <v>66.239999999999995</v>
      </c>
      <c r="H22" s="1">
        <f>$B$12/(G22-B26)</f>
        <v>1.5015015015015022E-4</v>
      </c>
      <c r="I22" s="1">
        <f>(4*PI()/3)*B29^3*($B$9-$B$8)*($B$6/E18)*(1+ABS(H22)/B28)</f>
        <v>1.2891899065297816E-18</v>
      </c>
      <c r="K22">
        <v>83.89</v>
      </c>
      <c r="L22" s="1">
        <f>B12/(K22-G26)</f>
        <v>2.0661157024793374E-4</v>
      </c>
      <c r="M22" s="1">
        <f>-(4*PI()/3)*B29^3*($B$9-$B$8)*($B$6/$E$18)*(1-ABS(L22)/B28)</f>
        <v>1.1318223434619185E-18</v>
      </c>
    </row>
    <row r="23" spans="1:17" x14ac:dyDescent="0.25">
      <c r="A23">
        <v>2</v>
      </c>
      <c r="B23">
        <v>24.2</v>
      </c>
      <c r="C23" s="1">
        <f>$B$12/(B23-B22)</f>
        <v>4.1493775933609964E-5</v>
      </c>
      <c r="D23">
        <f>(($B$10/(2*$B$7))^2+9*E16*C23/(2*$B$6*($B$9-$B$8)))^(1/2)-$B$10/(2*$B$7)</f>
        <v>5.9718607307672547E-7</v>
      </c>
      <c r="E23" s="1">
        <f>(D23+$B$10/(2*$B$7))^(-1)*9*E16/(2*$B$6*($B$9-$B$8))*1/2*C28</f>
        <v>6.9151021026114403E-9</v>
      </c>
      <c r="F23" s="1"/>
      <c r="G23">
        <v>69.83</v>
      </c>
      <c r="H23" s="1">
        <f>$B$12/(G23-G22)</f>
        <v>1.3927576601671296E-4</v>
      </c>
      <c r="I23" s="1">
        <f>(4*PI()/3)*B29^3*($B$9-$B$8)*($B$6/E18)*(1+ABS(H23)/B28)</f>
        <v>1.2153955062539038E-18</v>
      </c>
      <c r="K23">
        <v>86.39</v>
      </c>
      <c r="L23" s="1">
        <f>$B$12/(K23-K22)</f>
        <v>2.0000000000000001E-4</v>
      </c>
      <c r="M23" s="1">
        <f>-(4*PI()/3)*B29^3*($B$9-$B$8)*($B$6/$E$18)*(1-ABS(L23)/B28)</f>
        <v>1.0869557233994648E-18</v>
      </c>
    </row>
    <row r="24" spans="1:17" x14ac:dyDescent="0.25">
      <c r="A24">
        <v>3</v>
      </c>
      <c r="B24">
        <v>37.92</v>
      </c>
      <c r="C24" s="1">
        <f t="shared" ref="C24:C26" si="0">$B$12/(B24-B23)</f>
        <v>3.644314868804664E-5</v>
      </c>
      <c r="E24" s="1">
        <f>(D24+$B$10/(2*$B$7))^(-1)*9*E16/(2*$B$6*($B$9-$B$8))*1/2*C28</f>
        <v>1.0897168515029704E-7</v>
      </c>
      <c r="F24" s="1"/>
      <c r="G24">
        <v>73.680000000000007</v>
      </c>
      <c r="H24" s="1">
        <f>$B$12/(G24-G23)</f>
        <v>1.2987012987012957E-4</v>
      </c>
      <c r="I24" s="1">
        <f>(4*PI()/3)*B29^3*($B$9-$B$8)*($B$6/E18)*(1+ABS(H24)/B28)</f>
        <v>1.1515681418594435E-18</v>
      </c>
      <c r="K24">
        <v>88.53</v>
      </c>
      <c r="L24" s="1">
        <f>$B$12/(K24-K23)</f>
        <v>2.3364485981308407E-4</v>
      </c>
      <c r="M24" s="1">
        <f>-(4*PI()/3)*B29^3*($B$9-$B$8)*($B$6/E18)*(1-ABS(L24)/B28)</f>
        <v>1.3152723086705548E-18</v>
      </c>
    </row>
    <row r="25" spans="1:17" x14ac:dyDescent="0.25">
      <c r="A25">
        <v>4</v>
      </c>
      <c r="B25">
        <v>50.53</v>
      </c>
      <c r="C25" s="1">
        <f t="shared" si="0"/>
        <v>3.9651070578905632E-5</v>
      </c>
      <c r="D25">
        <f>(($B$10/(2*$B$7))^2+9*E16*C25/(2*$B$6*($B$9-$B$8)))^(1/2)-$B$10/(2*$B$7)</f>
        <v>5.8292484941675799E-7</v>
      </c>
      <c r="E25" s="1">
        <f>(D25+$B$10/(2*$B$7))^(-1)*9*E16/(2*$B$6*($B$9-$B$8))*1/2*C28</f>
        <v>7.0732984529568364E-9</v>
      </c>
      <c r="F25" s="1"/>
      <c r="G25">
        <v>77.23</v>
      </c>
      <c r="H25" s="1">
        <f>$B$12/(G25-G24)</f>
        <v>1.4084507042253533E-4</v>
      </c>
      <c r="I25" s="1">
        <f>(4*PI()/3)*B29^3*($B$9-$B$8)*($B$6/E18)*(1+ABS(H25)/B28)</f>
        <v>1.2260449256653321E-18</v>
      </c>
      <c r="K25">
        <v>90.95</v>
      </c>
      <c r="L25" s="1">
        <f t="shared" ref="L25:L26" si="1">$B$12/(K25-K24)</f>
        <v>2.0661157024793374E-4</v>
      </c>
      <c r="M25" s="1">
        <f>-(4*PI()/3)*B29^3*($B$9-$B$8)*($B$6/E18)*(1-ABS(L25)/B28)</f>
        <v>1.1318223434619185E-18</v>
      </c>
    </row>
    <row r="26" spans="1:17" x14ac:dyDescent="0.25">
      <c r="A26">
        <v>5</v>
      </c>
      <c r="B26">
        <v>62.91</v>
      </c>
      <c r="C26" s="1">
        <f t="shared" si="0"/>
        <v>4.0387722132471745E-5</v>
      </c>
      <c r="D26">
        <f>(($B$10/(2*$B$7))^2+9*E16*C26/(2*$B$6*($B$9-$B$8)))^(1/2)-$B$10/(2*$B$7)</f>
        <v>5.8866479324608991E-7</v>
      </c>
      <c r="E26" s="1">
        <f>(D26+$B$10/(2*$B$7))^(-1)*9*E16/(2*$B$6*($B$9-$B$8))*1/2*C28</f>
        <v>7.0087642182022031E-9</v>
      </c>
      <c r="F26" s="1"/>
      <c r="G26">
        <v>81.47</v>
      </c>
      <c r="H26" s="1">
        <f>$B$12/(G26-G25)</f>
        <v>1.1792452830188694E-4</v>
      </c>
      <c r="I26" s="1">
        <f>(4*PI()/3)*B29^3*($B$9-$B$8)*($B$6/E18)*(1+ABS(H26)/B28)</f>
        <v>1.0705043783537476E-18</v>
      </c>
      <c r="K26">
        <v>93.32</v>
      </c>
      <c r="L26" s="1">
        <f t="shared" si="1"/>
        <v>2.1097046413502197E-4</v>
      </c>
      <c r="M26" s="1">
        <f>-(4*PI()/3)*B29^3*($B$9-$B$8)*($B$6/E18)*(1-ABS(L26)/B28)</f>
        <v>1.1614021298955057E-18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3.9825596141503917E-5</v>
      </c>
      <c r="C28" s="1">
        <f>_xlfn.STDEV.S(C22:C26)/SQRT(COUNT(C22:C26))</f>
        <v>9.0361123673235878E-7</v>
      </c>
      <c r="F28" t="str">
        <f>J28</f>
        <v>Velocità</v>
      </c>
      <c r="G28" s="1">
        <f>AVERAGE(H22:H26)</f>
        <v>1.3561312895228302E-4</v>
      </c>
      <c r="H28" s="1">
        <f>_xlfn.STDEV.S(H22:H26)</f>
        <v>1.222683256763511E-5</v>
      </c>
      <c r="I28" s="2">
        <f>H28/SQRT(5)</f>
        <v>5.4680057541480803E-6</v>
      </c>
      <c r="J28" t="s">
        <v>27</v>
      </c>
      <c r="K28" s="1">
        <f>AVERAGE(L22:L26)</f>
        <v>2.115676928887947E-4</v>
      </c>
      <c r="L28" s="1">
        <f>_xlfn.STDEV.S(L22:L26)</f>
        <v>1.2948897671416375E-5</v>
      </c>
      <c r="M28" s="2">
        <f>L28/SQRT(5)</f>
        <v>5.7909230853951499E-6</v>
      </c>
    </row>
    <row r="29" spans="1:17" x14ac:dyDescent="0.25">
      <c r="A29" t="s">
        <v>5</v>
      </c>
      <c r="B29">
        <f>AVERAGE(D22:D26)</f>
        <v>5.908357259761949E-7</v>
      </c>
      <c r="C29">
        <f>_xlfn.STDEV.S(D22:D26)/SQRT(COUNT(D22:D26))</f>
        <v>3.1825780328549019E-9</v>
      </c>
      <c r="D29" s="1">
        <f>(B29+$B$10/(2*$B$7))^(-1)*9*E16/(2*$B$6*($B$9-$B$8))*1/2*C28</f>
        <v>6.9846622607115679E-9</v>
      </c>
      <c r="F29" t="str">
        <f>J29</f>
        <v>Carica</v>
      </c>
      <c r="G29">
        <f>AVERAGE(I22:I26)</f>
        <v>1.1905405717324416E-18</v>
      </c>
      <c r="H29">
        <f>_xlfn.STDEV.S(I22:I26)</f>
        <v>8.2972218521124275E-20</v>
      </c>
      <c r="I29" s="2">
        <f>H29/SQRT(5)</f>
        <v>3.7106304171440188E-20</v>
      </c>
      <c r="J29" t="s">
        <v>33</v>
      </c>
      <c r="K29">
        <f>AVERAGE(M22:M26)</f>
        <v>1.1654549697778725E-18</v>
      </c>
      <c r="L29">
        <f>_xlfn.STDEV.S(M22:M26)</f>
        <v>8.787220739772061E-20</v>
      </c>
      <c r="M29" s="2">
        <f>L29/SQRT(5)</f>
        <v>3.9297645814852636E-20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6.9436201676468765E-9</v>
      </c>
      <c r="E33">
        <v>6.9151021026114403E-9</v>
      </c>
      <c r="F33">
        <v>1.0897168515029704E-7</v>
      </c>
      <c r="G33">
        <v>7.0732984529568364E-9</v>
      </c>
      <c r="H33">
        <v>7.0087642182022031E-9</v>
      </c>
    </row>
    <row r="34" spans="1:13" x14ac:dyDescent="0.25">
      <c r="C34" t="s">
        <v>21</v>
      </c>
      <c r="D34">
        <v>5.9456718816520613E-7</v>
      </c>
      <c r="E34">
        <v>5.9718607307672547E-7</v>
      </c>
      <c r="F34">
        <v>0</v>
      </c>
      <c r="G34">
        <v>5.8292484941675799E-7</v>
      </c>
      <c r="H34">
        <v>5.8866479324608991E-7</v>
      </c>
    </row>
    <row r="35" spans="1:13" x14ac:dyDescent="0.25">
      <c r="A35">
        <v>1</v>
      </c>
      <c r="B35" s="1">
        <f>E22</f>
        <v>6.9436201676468765E-9</v>
      </c>
      <c r="C35">
        <f>D22</f>
        <v>5.9456718816520613E-7</v>
      </c>
      <c r="D35">
        <f t="shared" ref="D35:H39" si="2">($C35-D$34)/SQRT($B35^2+D$33^2)</f>
        <v>0</v>
      </c>
      <c r="E35">
        <f t="shared" si="2"/>
        <v>-0.26724359190820907</v>
      </c>
      <c r="F35">
        <f t="shared" si="2"/>
        <v>5.4451193221965806</v>
      </c>
      <c r="G35">
        <f t="shared" si="2"/>
        <v>1.1745840314247327</v>
      </c>
      <c r="H35">
        <f t="shared" si="2"/>
        <v>0.59826017772723183</v>
      </c>
    </row>
    <row r="36" spans="1:13" x14ac:dyDescent="0.25">
      <c r="A36">
        <v>2</v>
      </c>
      <c r="B36">
        <f>E23</f>
        <v>6.9151021026114403E-9</v>
      </c>
      <c r="C36">
        <f>D23</f>
        <v>5.9718607307672547E-7</v>
      </c>
      <c r="D36">
        <f t="shared" si="2"/>
        <v>0.26724359190820907</v>
      </c>
      <c r="E36">
        <f t="shared" si="2"/>
        <v>0</v>
      </c>
      <c r="F36">
        <f t="shared" si="2"/>
        <v>5.4691940387473537</v>
      </c>
      <c r="G36">
        <f t="shared" si="2"/>
        <v>1.4417035192957415</v>
      </c>
      <c r="H36">
        <f t="shared" si="2"/>
        <v>0.86546628583818253</v>
      </c>
    </row>
    <row r="37" spans="1:13" x14ac:dyDescent="0.25">
      <c r="A37">
        <v>3</v>
      </c>
      <c r="B37">
        <f>E24</f>
        <v>1.0897168515029704E-7</v>
      </c>
      <c r="C37">
        <f>D24</f>
        <v>0</v>
      </c>
      <c r="D37">
        <f t="shared" si="2"/>
        <v>-5.4451193221965806</v>
      </c>
      <c r="E37">
        <f t="shared" si="2"/>
        <v>-5.4691940387473537</v>
      </c>
      <c r="F37">
        <f t="shared" si="2"/>
        <v>0</v>
      </c>
      <c r="G37">
        <f t="shared" si="2"/>
        <v>-5.338090468844582</v>
      </c>
      <c r="H37">
        <f t="shared" si="2"/>
        <v>-5.3908589912129621</v>
      </c>
    </row>
    <row r="38" spans="1:13" x14ac:dyDescent="0.25">
      <c r="A38">
        <v>4</v>
      </c>
      <c r="B38">
        <f>E25</f>
        <v>7.0732984529568364E-9</v>
      </c>
      <c r="C38">
        <f>D25</f>
        <v>5.8292484941675799E-7</v>
      </c>
      <c r="D38">
        <f t="shared" si="2"/>
        <v>-1.1745840314247327</v>
      </c>
      <c r="E38">
        <f t="shared" si="2"/>
        <v>-1.4417035192957415</v>
      </c>
      <c r="F38">
        <f t="shared" si="2"/>
        <v>5.338090468844582</v>
      </c>
      <c r="G38">
        <f t="shared" si="2"/>
        <v>0</v>
      </c>
      <c r="H38">
        <f t="shared" si="2"/>
        <v>-0.57643694408915513</v>
      </c>
    </row>
    <row r="39" spans="1:13" x14ac:dyDescent="0.25">
      <c r="A39">
        <v>5</v>
      </c>
      <c r="B39">
        <f>E26</f>
        <v>7.0087642182022031E-9</v>
      </c>
      <c r="C39">
        <f>D26</f>
        <v>5.8866479324608991E-7</v>
      </c>
      <c r="D39">
        <f t="shared" si="2"/>
        <v>-0.59826017772723183</v>
      </c>
      <c r="E39">
        <f t="shared" si="2"/>
        <v>-0.86546628583818253</v>
      </c>
      <c r="F39">
        <f t="shared" si="2"/>
        <v>5.3908589912129621</v>
      </c>
      <c r="G39">
        <f t="shared" si="2"/>
        <v>0.57643694408915513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8.2972218521124275E-20</v>
      </c>
      <c r="E42">
        <v>8.2972218521124275E-20</v>
      </c>
      <c r="F42">
        <v>8.2972218521124275E-20</v>
      </c>
      <c r="G42">
        <v>8.2972218521124275E-20</v>
      </c>
      <c r="H42">
        <v>8.2972218521124275E-20</v>
      </c>
      <c r="I42">
        <v>8.787220739772061E-20</v>
      </c>
      <c r="J42">
        <v>8.787220739772061E-20</v>
      </c>
      <c r="K42">
        <v>8.787220739772061E-20</v>
      </c>
      <c r="L42">
        <v>8.787220739772061E-20</v>
      </c>
      <c r="M42">
        <v>8.787220739772061E-20</v>
      </c>
    </row>
    <row r="43" spans="1:13" x14ac:dyDescent="0.25">
      <c r="C43" t="s">
        <v>35</v>
      </c>
      <c r="D43">
        <v>1.2891899065297816E-18</v>
      </c>
      <c r="E43">
        <v>1.2153955062539038E-18</v>
      </c>
      <c r="F43">
        <v>1.1515681418594435E-18</v>
      </c>
      <c r="G43">
        <v>1.2260449256653321E-18</v>
      </c>
      <c r="H43">
        <v>1.0705043783537476E-18</v>
      </c>
      <c r="I43">
        <v>1.1318223434619185E-18</v>
      </c>
      <c r="J43">
        <v>1.0869557233994648E-18</v>
      </c>
      <c r="K43">
        <v>1.3152723086705548E-18</v>
      </c>
      <c r="L43">
        <v>1.1318223434619185E-18</v>
      </c>
      <c r="M43">
        <v>1.1614021298955057E-18</v>
      </c>
    </row>
    <row r="44" spans="1:13" x14ac:dyDescent="0.25">
      <c r="A44">
        <v>1</v>
      </c>
      <c r="B44">
        <f>$H$29</f>
        <v>8.2972218521124275E-20</v>
      </c>
      <c r="C44" s="1">
        <f>I22</f>
        <v>1.2891899065297816E-18</v>
      </c>
      <c r="D44">
        <f>($C44-D$43)/SQRT($B44^2+D$42^2)</f>
        <v>0</v>
      </c>
      <c r="E44">
        <f t="shared" ref="E44:M44" si="3">($C44-E$43)/SQRT($B44^2+E$42^2)</f>
        <v>0.62889147450459892</v>
      </c>
      <c r="F44">
        <f t="shared" si="3"/>
        <v>1.1728417628423409</v>
      </c>
      <c r="G44">
        <f t="shared" si="3"/>
        <v>0.53813487168333729</v>
      </c>
      <c r="H44">
        <f t="shared" si="3"/>
        <v>1.8636842870637054</v>
      </c>
      <c r="I44">
        <f t="shared" si="3"/>
        <v>1.3021195269863257</v>
      </c>
      <c r="J44">
        <f t="shared" si="3"/>
        <v>1.6733631362427241</v>
      </c>
      <c r="K44">
        <f t="shared" si="3"/>
        <v>-0.21581579123497555</v>
      </c>
      <c r="L44">
        <f t="shared" si="3"/>
        <v>1.3021195269863257</v>
      </c>
      <c r="M44">
        <f t="shared" si="3"/>
        <v>1.0573650377613175</v>
      </c>
    </row>
    <row r="45" spans="1:13" x14ac:dyDescent="0.25">
      <c r="A45">
        <v>2</v>
      </c>
      <c r="B45">
        <f t="shared" ref="B45:B48" si="4">$H$29</f>
        <v>8.2972218521124275E-20</v>
      </c>
      <c r="C45" s="1">
        <f t="shared" ref="C45:C48" si="5">I23</f>
        <v>1.2153955062539038E-18</v>
      </c>
      <c r="D45">
        <f t="shared" ref="D45:M53" si="6">($C45-D$43)/SQRT($B45^2+D$42^2)</f>
        <v>-0.62889147450459892</v>
      </c>
      <c r="E45">
        <f t="shared" si="6"/>
        <v>0</v>
      </c>
      <c r="F45">
        <f t="shared" si="6"/>
        <v>0.54395028833774195</v>
      </c>
      <c r="G45">
        <f t="shared" si="6"/>
        <v>-9.0756602821261648E-2</v>
      </c>
      <c r="H45">
        <f t="shared" si="6"/>
        <v>1.2347928125591063</v>
      </c>
      <c r="I45">
        <f t="shared" si="6"/>
        <v>0.6915163778479726</v>
      </c>
      <c r="J45">
        <f t="shared" si="6"/>
        <v>1.0627599871043709</v>
      </c>
      <c r="K45">
        <f t="shared" si="6"/>
        <v>-0.82641894037332864</v>
      </c>
      <c r="L45">
        <f t="shared" si="6"/>
        <v>0.6915163778479726</v>
      </c>
      <c r="M45">
        <f t="shared" si="6"/>
        <v>0.44676188862296434</v>
      </c>
    </row>
    <row r="46" spans="1:13" x14ac:dyDescent="0.25">
      <c r="A46">
        <v>3</v>
      </c>
      <c r="B46">
        <f t="shared" si="4"/>
        <v>8.2972218521124275E-20</v>
      </c>
      <c r="C46" s="1">
        <f t="shared" si="5"/>
        <v>1.1515681418594435E-18</v>
      </c>
      <c r="D46">
        <f t="shared" si="6"/>
        <v>-1.1728417628423409</v>
      </c>
      <c r="E46">
        <f t="shared" si="6"/>
        <v>-0.54395028833774195</v>
      </c>
      <c r="F46">
        <f t="shared" si="6"/>
        <v>0</v>
      </c>
      <c r="G46">
        <f t="shared" si="6"/>
        <v>-0.63470689115900358</v>
      </c>
      <c r="H46">
        <f t="shared" si="6"/>
        <v>0.6908425242213645</v>
      </c>
      <c r="I46">
        <f t="shared" si="6"/>
        <v>0.16338430339843804</v>
      </c>
      <c r="J46">
        <f t="shared" si="6"/>
        <v>0.53462791265483645</v>
      </c>
      <c r="K46">
        <f t="shared" si="6"/>
        <v>-1.3545510148228632</v>
      </c>
      <c r="L46">
        <f t="shared" si="6"/>
        <v>0.16338430339843804</v>
      </c>
      <c r="M46">
        <f t="shared" si="6"/>
        <v>-8.1370185826570268E-2</v>
      </c>
    </row>
    <row r="47" spans="1:13" x14ac:dyDescent="0.25">
      <c r="A47">
        <v>4</v>
      </c>
      <c r="B47">
        <f t="shared" si="4"/>
        <v>8.2972218521124275E-20</v>
      </c>
      <c r="C47" s="1">
        <f t="shared" si="5"/>
        <v>1.2260449256653321E-18</v>
      </c>
      <c r="D47">
        <f t="shared" si="6"/>
        <v>-0.53813487168333729</v>
      </c>
      <c r="E47">
        <f t="shared" si="6"/>
        <v>9.0756602821261648E-2</v>
      </c>
      <c r="F47">
        <f t="shared" si="6"/>
        <v>0.63470689115900358</v>
      </c>
      <c r="G47">
        <f t="shared" si="6"/>
        <v>0</v>
      </c>
      <c r="H47">
        <f t="shared" si="6"/>
        <v>1.325549415380368</v>
      </c>
      <c r="I47">
        <f t="shared" si="6"/>
        <v>0.77963375538344415</v>
      </c>
      <c r="J47">
        <f t="shared" si="6"/>
        <v>1.1508773646398425</v>
      </c>
      <c r="K47">
        <f t="shared" si="6"/>
        <v>-0.73830156283785708</v>
      </c>
      <c r="L47">
        <f t="shared" si="6"/>
        <v>0.77963375538344415</v>
      </c>
      <c r="M47">
        <f t="shared" si="6"/>
        <v>0.53487926615843584</v>
      </c>
    </row>
    <row r="48" spans="1:13" x14ac:dyDescent="0.25">
      <c r="A48">
        <v>5</v>
      </c>
      <c r="B48">
        <f t="shared" si="4"/>
        <v>8.2972218521124275E-20</v>
      </c>
      <c r="C48" s="1">
        <f t="shared" si="5"/>
        <v>1.0705043783537476E-18</v>
      </c>
      <c r="D48">
        <f t="shared" si="6"/>
        <v>-1.8636842870637054</v>
      </c>
      <c r="E48">
        <f t="shared" si="6"/>
        <v>-1.2347928125591063</v>
      </c>
      <c r="F48">
        <f t="shared" si="6"/>
        <v>-0.6908425242213645</v>
      </c>
      <c r="G48">
        <f t="shared" si="6"/>
        <v>-1.325549415380368</v>
      </c>
      <c r="H48">
        <f t="shared" si="6"/>
        <v>0</v>
      </c>
      <c r="I48">
        <f t="shared" si="6"/>
        <v>-0.50736834304273959</v>
      </c>
      <c r="J48">
        <f t="shared" si="6"/>
        <v>-0.13612473378634127</v>
      </c>
      <c r="K48">
        <f t="shared" si="6"/>
        <v>-2.0253036612640409</v>
      </c>
      <c r="L48">
        <f t="shared" si="6"/>
        <v>-0.50736834304273959</v>
      </c>
      <c r="M48">
        <f t="shared" si="6"/>
        <v>-0.7521228322677479</v>
      </c>
    </row>
    <row r="49" spans="1:13" x14ac:dyDescent="0.25">
      <c r="A49">
        <v>6</v>
      </c>
      <c r="B49">
        <f>$L$29</f>
        <v>8.787220739772061E-20</v>
      </c>
      <c r="C49" s="1">
        <f>M22</f>
        <v>1.1318223434619185E-18</v>
      </c>
      <c r="D49">
        <f t="shared" si="6"/>
        <v>-1.3021195269863257</v>
      </c>
      <c r="E49">
        <f t="shared" si="6"/>
        <v>-0.6915163778479726</v>
      </c>
      <c r="F49">
        <f t="shared" si="6"/>
        <v>-0.16338430339843804</v>
      </c>
      <c r="G49">
        <f t="shared" si="6"/>
        <v>-0.77963375538344415</v>
      </c>
      <c r="H49">
        <f t="shared" si="6"/>
        <v>0.50736834304273959</v>
      </c>
      <c r="I49">
        <f t="shared" si="6"/>
        <v>0</v>
      </c>
      <c r="J49">
        <f t="shared" si="6"/>
        <v>0.36104124653985148</v>
      </c>
      <c r="K49">
        <f t="shared" si="6"/>
        <v>-1.4762200501045779</v>
      </c>
      <c r="L49">
        <f t="shared" si="6"/>
        <v>0</v>
      </c>
      <c r="M49">
        <f t="shared" si="6"/>
        <v>-0.23802824798255742</v>
      </c>
    </row>
    <row r="50" spans="1:13" x14ac:dyDescent="0.25">
      <c r="A50">
        <v>7</v>
      </c>
      <c r="B50">
        <f t="shared" ref="B50:B53" si="7">$L$29</f>
        <v>8.787220739772061E-20</v>
      </c>
      <c r="C50" s="1">
        <f t="shared" ref="C50:C53" si="8">M23</f>
        <v>1.0869557233994648E-18</v>
      </c>
      <c r="D50">
        <f t="shared" si="6"/>
        <v>-1.6733631362427241</v>
      </c>
      <c r="E50">
        <f t="shared" si="6"/>
        <v>-1.0627599871043709</v>
      </c>
      <c r="F50">
        <f t="shared" si="6"/>
        <v>-0.53462791265483645</v>
      </c>
      <c r="G50">
        <f t="shared" si="6"/>
        <v>-1.1508773646398425</v>
      </c>
      <c r="H50">
        <f t="shared" si="6"/>
        <v>0.13612473378634127</v>
      </c>
      <c r="I50">
        <f t="shared" si="6"/>
        <v>-0.36104124653985148</v>
      </c>
      <c r="J50">
        <f t="shared" si="6"/>
        <v>0</v>
      </c>
      <c r="K50">
        <f t="shared" si="6"/>
        <v>-1.8372612966444293</v>
      </c>
      <c r="L50">
        <f t="shared" si="6"/>
        <v>-0.36104124653985148</v>
      </c>
      <c r="M50">
        <f t="shared" si="6"/>
        <v>-0.59906949452240887</v>
      </c>
    </row>
    <row r="51" spans="1:13" x14ac:dyDescent="0.25">
      <c r="A51">
        <v>8</v>
      </c>
      <c r="B51">
        <f t="shared" si="7"/>
        <v>8.787220739772061E-20</v>
      </c>
      <c r="C51" s="1">
        <f t="shared" si="8"/>
        <v>1.3152723086705548E-18</v>
      </c>
      <c r="D51">
        <f t="shared" si="6"/>
        <v>0.21581579123497555</v>
      </c>
      <c r="E51">
        <f t="shared" si="6"/>
        <v>0.82641894037332864</v>
      </c>
      <c r="F51">
        <f t="shared" si="6"/>
        <v>1.3545510148228632</v>
      </c>
      <c r="G51">
        <f t="shared" si="6"/>
        <v>0.73830156283785708</v>
      </c>
      <c r="H51">
        <f t="shared" si="6"/>
        <v>2.0253036612640409</v>
      </c>
      <c r="I51">
        <f t="shared" si="6"/>
        <v>1.4762200501045779</v>
      </c>
      <c r="J51">
        <f t="shared" si="6"/>
        <v>1.8372612966444293</v>
      </c>
      <c r="K51">
        <f t="shared" si="6"/>
        <v>0</v>
      </c>
      <c r="L51">
        <f t="shared" si="6"/>
        <v>1.4762200501045779</v>
      </c>
      <c r="M51">
        <f t="shared" si="6"/>
        <v>1.2381918021220204</v>
      </c>
    </row>
    <row r="52" spans="1:13" x14ac:dyDescent="0.25">
      <c r="A52">
        <v>9</v>
      </c>
      <c r="B52">
        <f t="shared" si="7"/>
        <v>8.787220739772061E-20</v>
      </c>
      <c r="C52" s="1">
        <f t="shared" si="8"/>
        <v>1.1318223434619185E-18</v>
      </c>
      <c r="D52">
        <f t="shared" si="6"/>
        <v>-1.3021195269863257</v>
      </c>
      <c r="E52">
        <f t="shared" si="6"/>
        <v>-0.6915163778479726</v>
      </c>
      <c r="F52">
        <f t="shared" si="6"/>
        <v>-0.16338430339843804</v>
      </c>
      <c r="G52">
        <f t="shared" si="6"/>
        <v>-0.77963375538344415</v>
      </c>
      <c r="H52">
        <f t="shared" si="6"/>
        <v>0.50736834304273959</v>
      </c>
      <c r="I52">
        <f t="shared" si="6"/>
        <v>0</v>
      </c>
      <c r="J52">
        <f t="shared" si="6"/>
        <v>0.36104124653985148</v>
      </c>
      <c r="K52">
        <f t="shared" si="6"/>
        <v>-1.4762200501045779</v>
      </c>
      <c r="L52">
        <f t="shared" si="6"/>
        <v>0</v>
      </c>
      <c r="M52">
        <f t="shared" si="6"/>
        <v>-0.23802824798255742</v>
      </c>
    </row>
    <row r="53" spans="1:13" x14ac:dyDescent="0.25">
      <c r="A53">
        <v>10</v>
      </c>
      <c r="B53">
        <f t="shared" si="7"/>
        <v>8.787220739772061E-20</v>
      </c>
      <c r="C53" s="1">
        <f t="shared" si="8"/>
        <v>1.1614021298955057E-18</v>
      </c>
      <c r="D53">
        <f t="shared" si="6"/>
        <v>-1.0573650377613175</v>
      </c>
      <c r="E53">
        <f t="shared" si="6"/>
        <v>-0.44676188862296434</v>
      </c>
      <c r="F53">
        <f t="shared" si="6"/>
        <v>8.1370185826570268E-2</v>
      </c>
      <c r="G53">
        <f t="shared" si="6"/>
        <v>-0.53487926615843584</v>
      </c>
      <c r="H53">
        <f t="shared" si="6"/>
        <v>0.7521228322677479</v>
      </c>
      <c r="I53">
        <f t="shared" si="6"/>
        <v>0.23802824798255742</v>
      </c>
      <c r="J53">
        <f t="shared" si="6"/>
        <v>0.59906949452240887</v>
      </c>
      <c r="K53">
        <f t="shared" si="6"/>
        <v>-1.2381918021220204</v>
      </c>
      <c r="L53">
        <f t="shared" si="6"/>
        <v>0.23802824798255742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24" priority="3" operator="greaterThan">
      <formula>1.96</formula>
    </cfRule>
  </conditionalFormatting>
  <conditionalFormatting sqref="D36:H40">
    <cfRule type="cellIs" dxfId="23" priority="2" operator="notBetween">
      <formula>-1.96</formula>
      <formula>1.96</formula>
    </cfRule>
  </conditionalFormatting>
  <conditionalFormatting sqref="D35:H35">
    <cfRule type="cellIs" dxfId="22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9" zoomScaleNormal="100" workbookViewId="0">
      <selection activeCell="D35" sqref="D35:H3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((G29+L29)/2)/B11</f>
        <v>7.2974381338680878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7" x14ac:dyDescent="0.25">
      <c r="A17" t="s">
        <v>23</v>
      </c>
      <c r="B17">
        <v>2.25</v>
      </c>
      <c r="D17" t="s">
        <v>1</v>
      </c>
      <c r="E17" s="2">
        <f>E16/(1+$B$10/($B$7*B29))</f>
        <v>1.5818985056073098E-5</v>
      </c>
    </row>
    <row r="18" spans="1:17" x14ac:dyDescent="0.25">
      <c r="A18" t="s">
        <v>24</v>
      </c>
      <c r="B18">
        <v>20.5</v>
      </c>
      <c r="D18" t="s">
        <v>32</v>
      </c>
      <c r="E18" s="1">
        <f>B16/B5</f>
        <v>26917.900403768504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1.7284938791984255E-4</v>
      </c>
      <c r="I19">
        <f>_xlfn.STDEV.S(H22:H26)</f>
        <v>1.8712118103627941E-5</v>
      </c>
      <c r="J19" s="1">
        <f>H19-2*I19</f>
        <v>1.3542515171258667E-4</v>
      </c>
      <c r="K19" s="1">
        <f>H19+2*I19</f>
        <v>2.1027362412709844E-4</v>
      </c>
      <c r="M19" t="s">
        <v>44</v>
      </c>
      <c r="N19" s="1">
        <f>AVERAGE(M22:M26)</f>
        <v>2.2386731944296838E-4</v>
      </c>
      <c r="O19">
        <f>_xlfn.STDEV.S(M22:M26)</f>
        <v>1.1061644288115057E-5</v>
      </c>
      <c r="P19" s="1">
        <f>N19-2*O19</f>
        <v>2.0174403086673827E-4</v>
      </c>
      <c r="Q19" s="1">
        <f>N19+2*O19</f>
        <v>2.4599060801919849E-4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L21" t="s">
        <v>38</v>
      </c>
      <c r="M21" t="s">
        <v>20</v>
      </c>
      <c r="N21" t="s">
        <v>22</v>
      </c>
    </row>
    <row r="22" spans="1:17" x14ac:dyDescent="0.25">
      <c r="A22">
        <v>1</v>
      </c>
      <c r="B22">
        <v>16.670000000000002</v>
      </c>
      <c r="C22" s="1">
        <f>B12/B22</f>
        <v>2.9994001199760046E-5</v>
      </c>
      <c r="E22" s="1">
        <f>(D22+$B$10/(2*$B$7))^(-1)*9*E16/(2*$B$6*($B$9-$B$8))*1/2*C28</f>
        <v>7.1623742808592458E-8</v>
      </c>
      <c r="F22" s="1"/>
      <c r="G22">
        <v>81.23</v>
      </c>
      <c r="H22" s="1">
        <f>$B$12/(G22-B26)</f>
        <v>1.6891891891891847E-4</v>
      </c>
      <c r="I22" s="1">
        <f>(4*PI()/3)*B29^3*($B$9-$B$8)*($B$6/E18)*(1+ABS(H22)/B28)</f>
        <v>1.1841885117182006E-18</v>
      </c>
      <c r="J22" s="1">
        <f>I22/$B$11</f>
        <v>7.3911234063458036</v>
      </c>
      <c r="L22">
        <v>95.28</v>
      </c>
      <c r="M22" s="1">
        <f>B12/(L22-G26)</f>
        <v>2.0661157024793374E-4</v>
      </c>
      <c r="N22" s="1">
        <f>-(4*PI()/3)*B29^3*($B$9-$B$8)*($B$6/$E$18)*(1-ABS(M22)/B28)</f>
        <v>1.0292910671166486E-18</v>
      </c>
      <c r="O22" s="1">
        <f>N22/$B$11</f>
        <v>6.4243295918064796</v>
      </c>
    </row>
    <row r="23" spans="1:17" x14ac:dyDescent="0.25">
      <c r="A23">
        <v>2</v>
      </c>
      <c r="B23">
        <v>32.04</v>
      </c>
      <c r="C23" s="1">
        <f>$B$12/(B23-B22)</f>
        <v>3.2530904359141192E-5</v>
      </c>
      <c r="D23">
        <f>(($B$10/(2*$B$7))^2+9*E16*C23/(2*$B$6*($B$9-$B$8)))^(1/2)-$B$10/(2*$B$7)</f>
        <v>5.2444670424162051E-7</v>
      </c>
      <c r="E23" s="1">
        <f>(D23+$B$10/(2*$B$7))^(-1)*9*E16/(2*$B$6*($B$9-$B$8))*1/2*C28</f>
        <v>5.1303212966369782E-9</v>
      </c>
      <c r="F23" s="1"/>
      <c r="G23">
        <v>83.69</v>
      </c>
      <c r="H23" s="1">
        <f>$B$12/(G23-G22)</f>
        <v>2.0325203252032572E-4</v>
      </c>
      <c r="I23" s="1">
        <f>(4*PI()/3)*B29^3*($B$9-$B$8)*($B$6/E18)*(1+ABS(H23)/B28)</f>
        <v>1.3865572887598067E-18</v>
      </c>
      <c r="J23" s="1">
        <f t="shared" ref="J23:J26" si="0">I23/$B$11</f>
        <v>8.6542099756755064</v>
      </c>
      <c r="L23">
        <v>97.47</v>
      </c>
      <c r="M23" s="1">
        <f>$B$12/(L23-L22)</f>
        <v>2.2831050228310526E-4</v>
      </c>
      <c r="N23" s="1">
        <f>-(4*PI()/3)*B29^3*($B$9-$B$8)*($B$6/$E$18)*(1-ABS(M23)/B28)</f>
        <v>1.1571905169028341E-18</v>
      </c>
      <c r="O23" s="1">
        <f t="shared" ref="O23:O26" si="1">N23/$B$11</f>
        <v>7.222615175241005</v>
      </c>
    </row>
    <row r="24" spans="1:17" x14ac:dyDescent="0.25">
      <c r="A24">
        <v>3</v>
      </c>
      <c r="B24">
        <v>48.02</v>
      </c>
      <c r="C24" s="1">
        <f t="shared" ref="C24:C26" si="2">$B$12/(B24-B23)</f>
        <v>3.1289111389236537E-5</v>
      </c>
      <c r="D24">
        <f>(($B$10/(2*$B$7))^2+9*E16*C24/(2*$B$6*($B$9-$B$8)))^(1/2)-$B$10/(2*$B$7)</f>
        <v>5.1361611536050924E-7</v>
      </c>
      <c r="E24" s="1">
        <f>(D24+$B$10/(2*$B$7))^(-1)*9*E16/(2*$B$6*($B$9-$B$8))*1/2*C28</f>
        <v>5.2306035733316177E-9</v>
      </c>
      <c r="F24" s="1"/>
      <c r="G24">
        <v>86.9</v>
      </c>
      <c r="H24" s="1">
        <f>$B$12/(G24-G23)</f>
        <v>1.5576323987538904E-4</v>
      </c>
      <c r="I24" s="1">
        <f>(4*PI()/3)*B29^3*($B$9-$B$8)*($B$6/E18)*(1+ABS(H24)/B28)</f>
        <v>1.1066453354686159E-18</v>
      </c>
      <c r="J24" s="1">
        <f t="shared" si="0"/>
        <v>6.9071369638923823</v>
      </c>
      <c r="L24">
        <v>99.62</v>
      </c>
      <c r="M24" s="1">
        <f>$B$12/(L24-L23)</f>
        <v>2.3255813953488311E-4</v>
      </c>
      <c r="N24" s="1">
        <f>-(4*PI()/3)*B29^3*($B$9-$B$8)*($B$6/E18)*(1-ABS(M24)/B28)</f>
        <v>1.1822272544949475E-18</v>
      </c>
      <c r="O24" s="1">
        <f t="shared" si="1"/>
        <v>7.3788822014825524</v>
      </c>
    </row>
    <row r="25" spans="1:17" x14ac:dyDescent="0.25">
      <c r="A25">
        <v>4</v>
      </c>
      <c r="B25">
        <v>63.12</v>
      </c>
      <c r="C25" s="1">
        <f t="shared" si="2"/>
        <v>3.3112582781456967E-5</v>
      </c>
      <c r="D25">
        <f>(($B$10/(2*$B$7))^2+9*E16*C25/(2*$B$6*($B$9-$B$8)))^(1/2)-$B$10/(2*$B$7)</f>
        <v>5.2944916725998111E-7</v>
      </c>
      <c r="E25" s="1">
        <f>(D25+$B$10/(2*$B$7))^(-1)*9*E16/(2*$B$6*($B$9-$B$8))*1/2*C28</f>
        <v>5.0852894380826577E-9</v>
      </c>
      <c r="F25" s="1"/>
      <c r="G25">
        <v>90.02</v>
      </c>
      <c r="H25" s="1">
        <f>$B$12/(G25-G24)</f>
        <v>1.6025641025641074E-4</v>
      </c>
      <c r="I25" s="1">
        <f>(4*PI()/3)*B29^3*($B$9-$B$8)*($B$6/E18)*(1+ABS(H25)/B28)</f>
        <v>1.1331293125877101E-18</v>
      </c>
      <c r="J25" s="1">
        <f t="shared" si="0"/>
        <v>7.0724369488534293</v>
      </c>
      <c r="L25">
        <v>101.9</v>
      </c>
      <c r="M25" s="1">
        <f t="shared" ref="M25:M26" si="3">$B$12/(L25-L24)</f>
        <v>2.1929824561403498E-4</v>
      </c>
      <c r="N25" s="1">
        <f>-(4*PI()/3)*B29^3*($B$9-$B$8)*($B$6/E18)*(1-ABS(M25)/B28)</f>
        <v>1.1040698072090282E-18</v>
      </c>
      <c r="O25" s="1">
        <f t="shared" si="1"/>
        <v>6.891061780748168</v>
      </c>
    </row>
    <row r="26" spans="1:17" x14ac:dyDescent="0.25">
      <c r="A26">
        <v>5</v>
      </c>
      <c r="B26">
        <v>78.27</v>
      </c>
      <c r="C26" s="1">
        <f t="shared" si="2"/>
        <v>3.3003300330033008E-5</v>
      </c>
      <c r="D26">
        <f>(($B$10/(2*$B$7))^2+9*E16*C26/(2*$B$6*($B$9-$B$8)))^(1/2)-$B$10/(2*$B$7)</f>
        <v>5.2851268813833347E-7</v>
      </c>
      <c r="E26" s="1">
        <f>(D26+$B$10/(2*$B$7))^(-1)*9*E16/(2*$B$6*($B$9-$B$8))*1/2*C28</f>
        <v>5.0936593216088624E-9</v>
      </c>
      <c r="F26" s="1"/>
      <c r="G26">
        <v>92.86</v>
      </c>
      <c r="H26" s="1">
        <f>$B$12/(G26-G25)</f>
        <v>1.7605633802816881E-4</v>
      </c>
      <c r="I26" s="1">
        <f>(4*PI()/3)*B29^3*($B$9-$B$8)*($B$6/E18)*(1+ABS(H26)/B28)</f>
        <v>1.2262584152271321E-18</v>
      </c>
      <c r="J26" s="1">
        <f t="shared" si="0"/>
        <v>7.653703093152938</v>
      </c>
      <c r="L26">
        <v>104.05</v>
      </c>
      <c r="M26" s="1">
        <f t="shared" si="3"/>
        <v>2.3255813953488466E-4</v>
      </c>
      <c r="N26" s="1">
        <f>-(4*PI()/3)*B29^3*($B$9-$B$8)*($B$6/E18)*(1-ABS(M26)/B28)</f>
        <v>1.1822272544949567E-18</v>
      </c>
      <c r="O26" s="1">
        <f t="shared" si="1"/>
        <v>7.3788822014826101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L27" s="1" t="s">
        <v>28</v>
      </c>
      <c r="M27" s="1" t="s">
        <v>29</v>
      </c>
      <c r="N27" t="s">
        <v>34</v>
      </c>
    </row>
    <row r="28" spans="1:17" x14ac:dyDescent="0.25">
      <c r="A28" t="s">
        <v>27</v>
      </c>
      <c r="B28" s="1">
        <f>AVERAGE(C22:C26)</f>
        <v>3.1985980011925547E-5</v>
      </c>
      <c r="C28" s="1">
        <f>_xlfn.STDEV.S(C22:C26)/SQRT(COUNT(C22:C26))</f>
        <v>5.9391592163972522E-7</v>
      </c>
      <c r="F28" t="str">
        <f>K28</f>
        <v>Velocità</v>
      </c>
      <c r="G28" s="1">
        <f>AVERAGE(H22:H26)</f>
        <v>1.7284938791984255E-4</v>
      </c>
      <c r="H28" s="1">
        <f>_xlfn.STDEV.S(H22:H26)</f>
        <v>1.8712118103627941E-5</v>
      </c>
      <c r="I28" s="2">
        <f>H28/SQRT(5)</f>
        <v>8.368313616543305E-6</v>
      </c>
      <c r="J28" s="2"/>
      <c r="K28" t="s">
        <v>27</v>
      </c>
      <c r="L28" s="1">
        <f>AVERAGE(M22:M26)</f>
        <v>2.2386731944296838E-4</v>
      </c>
      <c r="M28" s="1">
        <f>_xlfn.STDEV.S(M22:M26)</f>
        <v>1.1061644288115057E-5</v>
      </c>
      <c r="N28" s="2">
        <f>M28/SQRT(5)</f>
        <v>4.9469177142295067E-6</v>
      </c>
    </row>
    <row r="29" spans="1:17" x14ac:dyDescent="0.25">
      <c r="A29" t="s">
        <v>5</v>
      </c>
      <c r="B29">
        <f>AVERAGE(D22:D26)</f>
        <v>5.2400616875011111E-7</v>
      </c>
      <c r="C29">
        <f>_xlfn.STDEV.S(D22:D26)/SQRT(COUNT(D22:D26))</f>
        <v>3.629534299017434E-9</v>
      </c>
      <c r="D29" s="1">
        <f>(B29+$B$10/(2*$B$7))^(-1)*9*E16/(2*$B$6*($B$9-$B$8))*1/2*C28</f>
        <v>5.1343252091977613E-9</v>
      </c>
      <c r="F29" t="str">
        <f>K29</f>
        <v>Carica</v>
      </c>
      <c r="G29">
        <f>AVERAGE(I22:I26)</f>
        <v>1.2073557727522932E-18</v>
      </c>
      <c r="H29">
        <f>_xlfn.STDEV.S(I22:I26)</f>
        <v>1.1029435024308635E-19</v>
      </c>
      <c r="I29" s="2">
        <f>H29/SQRT(5)</f>
        <v>4.9325132935542303E-20</v>
      </c>
      <c r="J29" s="2"/>
      <c r="K29" t="s">
        <v>33</v>
      </c>
      <c r="L29">
        <f>AVERAGE(N22:N26)</f>
        <v>1.131001180043683E-18</v>
      </c>
      <c r="M29">
        <f>_xlfn.STDEV.S(N22:N26)</f>
        <v>6.5200361745325643E-20</v>
      </c>
      <c r="N29" s="2">
        <f>M29/SQRT(5)</f>
        <v>2.915848820402499E-20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7.1623742808592458E-8</v>
      </c>
      <c r="E33">
        <v>5.1303212966369782E-9</v>
      </c>
      <c r="F33">
        <v>5.2306035733316177E-9</v>
      </c>
      <c r="G33">
        <v>5.0852894380826577E-9</v>
      </c>
      <c r="H33">
        <v>5.0936593216088624E-9</v>
      </c>
    </row>
    <row r="34" spans="1:13" x14ac:dyDescent="0.25">
      <c r="C34" t="s">
        <v>21</v>
      </c>
      <c r="D34">
        <v>0</v>
      </c>
      <c r="E34">
        <v>5.2444670424162051E-7</v>
      </c>
      <c r="F34">
        <v>5.1361611536050924E-7</v>
      </c>
      <c r="G34">
        <v>5.2944916725998111E-7</v>
      </c>
      <c r="H34">
        <v>5.2851268813833347E-7</v>
      </c>
    </row>
    <row r="35" spans="1:13" x14ac:dyDescent="0.25">
      <c r="A35">
        <v>1</v>
      </c>
      <c r="B35" s="1">
        <f>E22</f>
        <v>7.1623742808592458E-8</v>
      </c>
      <c r="C35">
        <f>D22</f>
        <v>0</v>
      </c>
      <c r="D35">
        <f t="shared" ref="D35:H39" si="4">($C35-D$34)/SQRT($B35^2+D$33^2)</f>
        <v>0</v>
      </c>
      <c r="E35">
        <f t="shared" si="4"/>
        <v>-7.3035344718638253</v>
      </c>
      <c r="F35">
        <f t="shared" si="4"/>
        <v>-7.1519852946712934</v>
      </c>
      <c r="G35">
        <f t="shared" si="4"/>
        <v>-7.3735285565799202</v>
      </c>
      <c r="H35">
        <f t="shared" si="4"/>
        <v>-7.3604255935168839</v>
      </c>
    </row>
    <row r="36" spans="1:13" x14ac:dyDescent="0.25">
      <c r="A36">
        <v>2</v>
      </c>
      <c r="B36">
        <f>E23</f>
        <v>5.1303212966369782E-9</v>
      </c>
      <c r="C36">
        <f>D23</f>
        <v>5.2444670424162051E-7</v>
      </c>
      <c r="D36">
        <f t="shared" si="4"/>
        <v>7.3035344718638253</v>
      </c>
      <c r="E36">
        <f t="shared" si="4"/>
        <v>0</v>
      </c>
      <c r="F36">
        <f t="shared" si="4"/>
        <v>1.4782510714188286</v>
      </c>
      <c r="G36">
        <f t="shared" si="4"/>
        <v>-0.6925168250071394</v>
      </c>
      <c r="H36">
        <f t="shared" si="4"/>
        <v>-0.56241622678964032</v>
      </c>
    </row>
    <row r="37" spans="1:13" x14ac:dyDescent="0.25">
      <c r="A37">
        <v>3</v>
      </c>
      <c r="B37">
        <f>E24</f>
        <v>5.2306035733316177E-9</v>
      </c>
      <c r="C37">
        <f>D24</f>
        <v>5.1361611536050924E-7</v>
      </c>
      <c r="D37">
        <f t="shared" si="4"/>
        <v>7.1519852946712934</v>
      </c>
      <c r="E37">
        <f t="shared" si="4"/>
        <v>-1.4782510714188286</v>
      </c>
      <c r="F37">
        <f t="shared" si="4"/>
        <v>0</v>
      </c>
      <c r="G37">
        <f t="shared" si="4"/>
        <v>-2.1703497223388064</v>
      </c>
      <c r="H37">
        <f t="shared" si="4"/>
        <v>-2.0403473288962717</v>
      </c>
    </row>
    <row r="38" spans="1:13" x14ac:dyDescent="0.25">
      <c r="A38">
        <v>4</v>
      </c>
      <c r="B38">
        <f>E25</f>
        <v>5.0852894380826577E-9</v>
      </c>
      <c r="C38">
        <f>D25</f>
        <v>5.2944916725998111E-7</v>
      </c>
      <c r="D38">
        <f t="shared" si="4"/>
        <v>7.3735285565799202</v>
      </c>
      <c r="E38">
        <f t="shared" si="4"/>
        <v>0.6925168250071394</v>
      </c>
      <c r="F38">
        <f t="shared" si="4"/>
        <v>2.1703497223388064</v>
      </c>
      <c r="G38">
        <f t="shared" si="4"/>
        <v>0</v>
      </c>
      <c r="H38">
        <f t="shared" si="4"/>
        <v>0.13010980389529123</v>
      </c>
    </row>
    <row r="39" spans="1:13" x14ac:dyDescent="0.25">
      <c r="A39">
        <v>5</v>
      </c>
      <c r="B39">
        <f>E26</f>
        <v>5.0936593216088624E-9</v>
      </c>
      <c r="C39">
        <f>D26</f>
        <v>5.2851268813833347E-7</v>
      </c>
      <c r="D39">
        <f t="shared" si="4"/>
        <v>7.3604255935168839</v>
      </c>
      <c r="E39">
        <f t="shared" si="4"/>
        <v>0.56241622678964032</v>
      </c>
      <c r="F39">
        <f t="shared" si="4"/>
        <v>2.0403473288962717</v>
      </c>
      <c r="G39">
        <f t="shared" si="4"/>
        <v>-0.13010980389529123</v>
      </c>
      <c r="H39">
        <f t="shared" si="4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1.1029435024308635E-19</v>
      </c>
      <c r="E42">
        <v>1.1029435024308635E-19</v>
      </c>
      <c r="F42">
        <v>1.1029435024308635E-19</v>
      </c>
      <c r="G42">
        <v>1.1029435024308635E-19</v>
      </c>
      <c r="H42">
        <v>1.1029435024308635E-19</v>
      </c>
      <c r="I42">
        <v>6.5200361745325643E-20</v>
      </c>
      <c r="J42">
        <v>6.5200361745325643E-20</v>
      </c>
      <c r="K42">
        <v>6.5200361745325643E-20</v>
      </c>
      <c r="L42">
        <v>6.5200361745325643E-20</v>
      </c>
      <c r="M42">
        <v>6.5200361745325643E-20</v>
      </c>
    </row>
    <row r="43" spans="1:13" x14ac:dyDescent="0.25">
      <c r="C43" t="s">
        <v>35</v>
      </c>
      <c r="D43">
        <v>1.1841885117182006E-18</v>
      </c>
      <c r="E43">
        <v>1.3865572887598067E-18</v>
      </c>
      <c r="F43">
        <v>1.1066453354686159E-18</v>
      </c>
      <c r="G43">
        <v>1.1331293125877101E-18</v>
      </c>
      <c r="H43">
        <v>1.2262584152271321E-18</v>
      </c>
      <c r="I43">
        <v>1.0292910671166486E-18</v>
      </c>
      <c r="J43">
        <v>1.1571905169028341E-18</v>
      </c>
      <c r="K43">
        <v>1.1822272544949475E-18</v>
      </c>
      <c r="L43">
        <v>1.1040698072090282E-18</v>
      </c>
      <c r="M43">
        <v>1.1822272544949567E-18</v>
      </c>
    </row>
    <row r="44" spans="1:13" x14ac:dyDescent="0.25">
      <c r="A44">
        <v>1</v>
      </c>
      <c r="B44">
        <f>$H$29</f>
        <v>1.1029435024308635E-19</v>
      </c>
      <c r="C44" s="1">
        <f>I22</f>
        <v>1.1841885117182006E-18</v>
      </c>
      <c r="D44">
        <f>($C44-D$43)/SQRT($B44^2+D$42^2)</f>
        <v>0</v>
      </c>
      <c r="E44">
        <f t="shared" ref="E44:M44" si="5">($C44-E$43)/SQRT($B44^2+E$42^2)</f>
        <v>-1.2974040304980894</v>
      </c>
      <c r="F44">
        <f t="shared" si="5"/>
        <v>0.49713612383569927</v>
      </c>
      <c r="G44">
        <f t="shared" si="5"/>
        <v>0.32734501692562668</v>
      </c>
      <c r="H44">
        <f t="shared" si="5"/>
        <v>-0.26971385197397141</v>
      </c>
      <c r="I44">
        <f t="shared" si="5"/>
        <v>1.2089587861819322</v>
      </c>
      <c r="J44">
        <f t="shared" si="5"/>
        <v>0.21071660107299497</v>
      </c>
      <c r="K44">
        <f t="shared" si="5"/>
        <v>1.5307412966778547E-2</v>
      </c>
      <c r="L44">
        <f t="shared" si="5"/>
        <v>0.62531833241687629</v>
      </c>
      <c r="M44">
        <f t="shared" si="5"/>
        <v>1.5307412966706395E-2</v>
      </c>
    </row>
    <row r="45" spans="1:13" x14ac:dyDescent="0.25">
      <c r="A45">
        <v>2</v>
      </c>
      <c r="B45">
        <f t="shared" ref="B45:B48" si="6">$H$29</f>
        <v>1.1029435024308635E-19</v>
      </c>
      <c r="C45" s="1">
        <f t="shared" ref="C45:C48" si="7">I23</f>
        <v>1.3865572887598067E-18</v>
      </c>
      <c r="D45">
        <f t="shared" ref="D45:M53" si="8">($C45-D$43)/SQRT($B45^2+D$42^2)</f>
        <v>1.2974040304980894</v>
      </c>
      <c r="E45">
        <f t="shared" si="8"/>
        <v>0</v>
      </c>
      <c r="F45">
        <f t="shared" si="8"/>
        <v>1.7945401543337887</v>
      </c>
      <c r="G45">
        <f t="shared" si="8"/>
        <v>1.6247490474237161</v>
      </c>
      <c r="H45">
        <f t="shared" si="8"/>
        <v>1.0276901785241179</v>
      </c>
      <c r="I45">
        <f t="shared" si="8"/>
        <v>2.7884264893624326</v>
      </c>
      <c r="J45">
        <f t="shared" si="8"/>
        <v>1.7901843042534953</v>
      </c>
      <c r="K45">
        <f t="shared" si="8"/>
        <v>1.5947751161472787</v>
      </c>
      <c r="L45">
        <f t="shared" si="8"/>
        <v>2.2047860355973765</v>
      </c>
      <c r="M45">
        <f t="shared" si="8"/>
        <v>1.5947751161472066</v>
      </c>
    </row>
    <row r="46" spans="1:13" x14ac:dyDescent="0.25">
      <c r="A46">
        <v>3</v>
      </c>
      <c r="B46">
        <f t="shared" si="6"/>
        <v>1.1029435024308635E-19</v>
      </c>
      <c r="C46" s="1">
        <f t="shared" si="7"/>
        <v>1.1066453354686159E-18</v>
      </c>
      <c r="D46">
        <f t="shared" si="8"/>
        <v>-0.49713612383569927</v>
      </c>
      <c r="E46">
        <f t="shared" si="8"/>
        <v>-1.7945401543337887</v>
      </c>
      <c r="F46">
        <f t="shared" si="8"/>
        <v>0</v>
      </c>
      <c r="G46">
        <f t="shared" si="8"/>
        <v>-0.16979110691007257</v>
      </c>
      <c r="H46">
        <f t="shared" si="8"/>
        <v>-0.76684997580967063</v>
      </c>
      <c r="I46">
        <f t="shared" si="8"/>
        <v>0.60374218963615411</v>
      </c>
      <c r="J46">
        <f t="shared" si="8"/>
        <v>-0.39449999547278325</v>
      </c>
      <c r="K46">
        <f t="shared" si="8"/>
        <v>-0.58990918357899969</v>
      </c>
      <c r="L46">
        <f t="shared" si="8"/>
        <v>2.0101735871098023E-2</v>
      </c>
      <c r="M46">
        <f t="shared" si="8"/>
        <v>-0.58990918357907185</v>
      </c>
    </row>
    <row r="47" spans="1:13" x14ac:dyDescent="0.25">
      <c r="A47">
        <v>4</v>
      </c>
      <c r="B47">
        <f t="shared" si="6"/>
        <v>1.1029435024308635E-19</v>
      </c>
      <c r="C47" s="1">
        <f t="shared" si="7"/>
        <v>1.1331293125877101E-18</v>
      </c>
      <c r="D47">
        <f t="shared" si="8"/>
        <v>-0.32734501692562668</v>
      </c>
      <c r="E47">
        <f t="shared" si="8"/>
        <v>-1.6247490474237161</v>
      </c>
      <c r="F47">
        <f t="shared" si="8"/>
        <v>0.16979110691007257</v>
      </c>
      <c r="G47">
        <f t="shared" si="8"/>
        <v>0</v>
      </c>
      <c r="H47">
        <f t="shared" si="8"/>
        <v>-0.59705886889959803</v>
      </c>
      <c r="I47">
        <f t="shared" si="8"/>
        <v>0.81044693491798403</v>
      </c>
      <c r="J47">
        <f t="shared" si="8"/>
        <v>-0.18779525019095328</v>
      </c>
      <c r="K47">
        <f t="shared" si="8"/>
        <v>-0.38320443829716971</v>
      </c>
      <c r="L47">
        <f t="shared" si="8"/>
        <v>0.22680648115292798</v>
      </c>
      <c r="M47">
        <f t="shared" si="8"/>
        <v>-0.38320443829724188</v>
      </c>
    </row>
    <row r="48" spans="1:13" x14ac:dyDescent="0.25">
      <c r="A48">
        <v>5</v>
      </c>
      <c r="B48">
        <f t="shared" si="6"/>
        <v>1.1029435024308635E-19</v>
      </c>
      <c r="C48" s="1">
        <f t="shared" si="7"/>
        <v>1.2262584152271321E-18</v>
      </c>
      <c r="D48">
        <f t="shared" si="8"/>
        <v>0.26971385197397141</v>
      </c>
      <c r="E48">
        <f t="shared" si="8"/>
        <v>-1.0276901785241179</v>
      </c>
      <c r="F48">
        <f t="shared" si="8"/>
        <v>0.76684997580967063</v>
      </c>
      <c r="G48">
        <f t="shared" si="8"/>
        <v>0.59705886889959803</v>
      </c>
      <c r="H48">
        <f t="shared" si="8"/>
        <v>0</v>
      </c>
      <c r="I48">
        <f t="shared" si="8"/>
        <v>1.5373101002515717</v>
      </c>
      <c r="J48">
        <f t="shared" si="8"/>
        <v>0.5390679151426343</v>
      </c>
      <c r="K48">
        <f t="shared" si="8"/>
        <v>0.34365872703641787</v>
      </c>
      <c r="L48">
        <f t="shared" si="8"/>
        <v>0.95366964648651553</v>
      </c>
      <c r="M48">
        <f t="shared" si="8"/>
        <v>0.3436587270363457</v>
      </c>
    </row>
    <row r="49" spans="1:13" x14ac:dyDescent="0.25">
      <c r="A49">
        <v>6</v>
      </c>
      <c r="B49">
        <f>$M$29</f>
        <v>6.5200361745325643E-20</v>
      </c>
      <c r="C49" s="1">
        <f>N22</f>
        <v>1.0292910671166486E-18</v>
      </c>
      <c r="D49">
        <f t="shared" si="8"/>
        <v>-1.2089587861819322</v>
      </c>
      <c r="E49">
        <f t="shared" si="8"/>
        <v>-2.7884264893624326</v>
      </c>
      <c r="F49">
        <f t="shared" si="8"/>
        <v>-0.60374218963615411</v>
      </c>
      <c r="G49">
        <f t="shared" si="8"/>
        <v>-0.81044693491798403</v>
      </c>
      <c r="H49">
        <f t="shared" si="8"/>
        <v>-1.5373101002515717</v>
      </c>
      <c r="I49">
        <f t="shared" si="8"/>
        <v>0</v>
      </c>
      <c r="J49">
        <f t="shared" si="8"/>
        <v>-1.3870869092275222</v>
      </c>
      <c r="K49">
        <f t="shared" si="8"/>
        <v>-1.658613729881101</v>
      </c>
      <c r="L49">
        <f t="shared" si="8"/>
        <v>-0.81098559566962547</v>
      </c>
      <c r="M49">
        <f t="shared" si="8"/>
        <v>-1.6586137298812014</v>
      </c>
    </row>
    <row r="50" spans="1:13" x14ac:dyDescent="0.25">
      <c r="A50">
        <v>7</v>
      </c>
      <c r="B50">
        <f t="shared" ref="B50:B53" si="9">$M$29</f>
        <v>6.5200361745325643E-20</v>
      </c>
      <c r="C50" s="1">
        <f t="shared" ref="C50:C53" si="10">N23</f>
        <v>1.1571905169028341E-18</v>
      </c>
      <c r="D50">
        <f t="shared" si="8"/>
        <v>-0.21071660107299497</v>
      </c>
      <c r="E50">
        <f t="shared" si="8"/>
        <v>-1.7901843042534953</v>
      </c>
      <c r="F50">
        <f t="shared" si="8"/>
        <v>0.39449999547278325</v>
      </c>
      <c r="G50">
        <f t="shared" si="8"/>
        <v>0.18779525019095328</v>
      </c>
      <c r="H50">
        <f t="shared" si="8"/>
        <v>-0.5390679151426343</v>
      </c>
      <c r="I50">
        <f t="shared" si="8"/>
        <v>1.3870869092275222</v>
      </c>
      <c r="J50">
        <f t="shared" si="8"/>
        <v>0</v>
      </c>
      <c r="K50">
        <f t="shared" si="8"/>
        <v>-0.27152682065357897</v>
      </c>
      <c r="L50">
        <f t="shared" si="8"/>
        <v>0.57610131355789662</v>
      </c>
      <c r="M50">
        <f t="shared" si="8"/>
        <v>-0.27152682065367928</v>
      </c>
    </row>
    <row r="51" spans="1:13" x14ac:dyDescent="0.25">
      <c r="A51">
        <v>8</v>
      </c>
      <c r="B51">
        <f t="shared" si="9"/>
        <v>6.5200361745325643E-20</v>
      </c>
      <c r="C51" s="1">
        <f t="shared" si="10"/>
        <v>1.1822272544949475E-18</v>
      </c>
      <c r="D51">
        <f t="shared" si="8"/>
        <v>-1.5307412966778547E-2</v>
      </c>
      <c r="E51">
        <f t="shared" si="8"/>
        <v>-1.5947751161472787</v>
      </c>
      <c r="F51">
        <f t="shared" si="8"/>
        <v>0.58990918357899969</v>
      </c>
      <c r="G51">
        <f t="shared" si="8"/>
        <v>0.38320443829716971</v>
      </c>
      <c r="H51">
        <f t="shared" si="8"/>
        <v>-0.34365872703641787</v>
      </c>
      <c r="I51">
        <f t="shared" si="8"/>
        <v>1.658613729881101</v>
      </c>
      <c r="J51">
        <f t="shared" si="8"/>
        <v>0.27152682065357897</v>
      </c>
      <c r="K51">
        <f t="shared" si="8"/>
        <v>0</v>
      </c>
      <c r="L51">
        <f t="shared" si="8"/>
        <v>0.84762813421147554</v>
      </c>
      <c r="M51">
        <f t="shared" si="8"/>
        <v>-1.0025746512898104E-13</v>
      </c>
    </row>
    <row r="52" spans="1:13" x14ac:dyDescent="0.25">
      <c r="A52">
        <v>9</v>
      </c>
      <c r="B52">
        <f t="shared" si="9"/>
        <v>6.5200361745325643E-20</v>
      </c>
      <c r="C52" s="1">
        <f t="shared" si="10"/>
        <v>1.1040698072090282E-18</v>
      </c>
      <c r="D52">
        <f t="shared" si="8"/>
        <v>-0.62531833241687629</v>
      </c>
      <c r="E52">
        <f t="shared" si="8"/>
        <v>-2.2047860355973765</v>
      </c>
      <c r="F52">
        <f t="shared" si="8"/>
        <v>-2.0101735871098023E-2</v>
      </c>
      <c r="G52">
        <f t="shared" si="8"/>
        <v>-0.22680648115292798</v>
      </c>
      <c r="H52">
        <f t="shared" si="8"/>
        <v>-0.95366964648651553</v>
      </c>
      <c r="I52">
        <f t="shared" si="8"/>
        <v>0.81098559566962547</v>
      </c>
      <c r="J52">
        <f t="shared" si="8"/>
        <v>-0.57610131355789662</v>
      </c>
      <c r="K52">
        <f t="shared" si="8"/>
        <v>-0.84762813421147554</v>
      </c>
      <c r="L52">
        <f t="shared" si="8"/>
        <v>0</v>
      </c>
      <c r="M52">
        <f t="shared" si="8"/>
        <v>-0.84762813421157579</v>
      </c>
    </row>
    <row r="53" spans="1:13" x14ac:dyDescent="0.25">
      <c r="A53">
        <v>10</v>
      </c>
      <c r="B53">
        <f t="shared" si="9"/>
        <v>6.5200361745325643E-20</v>
      </c>
      <c r="C53" s="1">
        <f t="shared" si="10"/>
        <v>1.1822272544949567E-18</v>
      </c>
      <c r="D53">
        <f t="shared" si="8"/>
        <v>-1.5307412966706395E-2</v>
      </c>
      <c r="E53">
        <f t="shared" si="8"/>
        <v>-1.5947751161472066</v>
      </c>
      <c r="F53">
        <f t="shared" si="8"/>
        <v>0.58990918357907185</v>
      </c>
      <c r="G53">
        <f t="shared" si="8"/>
        <v>0.38320443829724188</v>
      </c>
      <c r="H53">
        <f t="shared" si="8"/>
        <v>-0.3436587270363457</v>
      </c>
      <c r="I53">
        <f t="shared" si="8"/>
        <v>1.6586137298812014</v>
      </c>
      <c r="J53">
        <f t="shared" si="8"/>
        <v>0.27152682065367928</v>
      </c>
      <c r="K53">
        <f t="shared" si="8"/>
        <v>1.0025746512898104E-13</v>
      </c>
      <c r="L53">
        <f t="shared" si="8"/>
        <v>0.84762813421157579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21" priority="3" operator="greaterThan">
      <formula>1.96</formula>
    </cfRule>
  </conditionalFormatting>
  <conditionalFormatting sqref="D36:H39">
    <cfRule type="cellIs" dxfId="20" priority="2" operator="notBetween">
      <formula>-1.96</formula>
      <formula>1.96</formula>
    </cfRule>
  </conditionalFormatting>
  <conditionalFormatting sqref="D35:H35">
    <cfRule type="cellIs" dxfId="19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4" zoomScaleNormal="100" workbookViewId="0">
      <selection activeCell="D35" sqref="D35:H3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9.3102362191601244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7" x14ac:dyDescent="0.25">
      <c r="A17" t="s">
        <v>23</v>
      </c>
      <c r="B17">
        <v>2.25</v>
      </c>
      <c r="D17" t="s">
        <v>1</v>
      </c>
      <c r="E17" s="2">
        <f>E16/(1+$B$10/($B$7*B29))</f>
        <v>1.6165054270286106E-5</v>
      </c>
    </row>
    <row r="18" spans="1:17" x14ac:dyDescent="0.25">
      <c r="A18" t="s">
        <v>24</v>
      </c>
      <c r="B18">
        <v>20.5</v>
      </c>
      <c r="D18" t="s">
        <v>32</v>
      </c>
      <c r="E18" s="1">
        <f>B16/B5</f>
        <v>26917.900403768504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1.7112559091133996E-4</v>
      </c>
      <c r="I19">
        <f>_xlfn.STDEV.S(H22:H26)</f>
        <v>8.9481134713219244E-6</v>
      </c>
      <c r="J19" s="1">
        <f>H19-2*I19</f>
        <v>1.5322936396869612E-4</v>
      </c>
      <c r="K19" s="1">
        <f>H19+2*I19</f>
        <v>1.890218178539838E-4</v>
      </c>
      <c r="M19" t="s">
        <v>44</v>
      </c>
      <c r="N19" s="1">
        <f>AVERAGE(L22:L26)</f>
        <v>2.5148147082810655E-4</v>
      </c>
      <c r="O19">
        <f>_xlfn.STDEV.S(L22:L26)</f>
        <v>2.7773197474101663E-5</v>
      </c>
      <c r="P19" s="1">
        <f>N19-2*O19</f>
        <v>1.9593507587990322E-4</v>
      </c>
      <c r="Q19" s="1">
        <f>N19+2*O19</f>
        <v>3.0702786577630988E-4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7" x14ac:dyDescent="0.25">
      <c r="A22">
        <v>1</v>
      </c>
      <c r="B22">
        <v>10.53</v>
      </c>
      <c r="C22" s="1">
        <f>B12/B22</f>
        <v>4.7483380816714154E-5</v>
      </c>
      <c r="D22">
        <f>(($B$10/(2*$B$7))^2+9*E16*C22/(2*$B$6*($B$9-$B$8)))^(1/2)-$B$10/(2*$B$7)</f>
        <v>6.4148424467170903E-7</v>
      </c>
      <c r="E22" s="1">
        <f>(D22+$B$10/(2*$B$7))^(-1)*9*E16/(2*$B$6*($B$9-$B$8))*1/2*C28</f>
        <v>5.9138206388725877E-9</v>
      </c>
      <c r="F22" s="1"/>
      <c r="G22">
        <v>58.58</v>
      </c>
      <c r="H22" s="1">
        <f>$B$12/(G22-B26)</f>
        <v>1.6501650165016496E-4</v>
      </c>
      <c r="I22" s="1">
        <f>(4*PI()/3)*B29^3*($B$9-$B$8)*($B$6/E18)*(1+ABS(H22)/B28)</f>
        <v>1.4830317815729182E-18</v>
      </c>
      <c r="K22">
        <v>72.62</v>
      </c>
      <c r="L22" s="1">
        <f>B12/(K22-G26)</f>
        <v>2.0576131687242741E-4</v>
      </c>
      <c r="M22" s="1">
        <f>-(4*PI()/3)*B29^3*($B$9-$B$8)*($B$6/$E$18)*(1-ABS(L22)/B28)</f>
        <v>1.1344163288271358E-18</v>
      </c>
    </row>
    <row r="23" spans="1:17" x14ac:dyDescent="0.25">
      <c r="A23">
        <v>2</v>
      </c>
      <c r="B23">
        <v>21.88</v>
      </c>
      <c r="C23" s="1">
        <f>$B$12/(B23-B22)</f>
        <v>4.4052863436123351E-5</v>
      </c>
      <c r="D23">
        <f>(($B$10/(2*$B$7))^2+9*E16*C23/(2*$B$6*($B$9-$B$8)))^(1/2)-$B$10/(2*$B$7)</f>
        <v>6.164782611405348E-7</v>
      </c>
      <c r="E23" s="1">
        <f>(D23+$B$10/(2*$B$7))^(-1)*9*E16/(2*$B$6*($B$9-$B$8))*1/2*C28</f>
        <v>6.1389255577205472E-9</v>
      </c>
      <c r="F23" s="1"/>
      <c r="G23">
        <v>61.63</v>
      </c>
      <c r="H23" s="1">
        <f>$B$12/(G23-G22)</f>
        <v>1.6393442622950798E-4</v>
      </c>
      <c r="I23" s="1">
        <f>(4*PI()/3)*B29^3*($B$9-$B$8)*($B$6/E18)*(1+ABS(H23)/B28)</f>
        <v>1.4753930391141742E-18</v>
      </c>
      <c r="K23">
        <v>74.53</v>
      </c>
      <c r="L23" s="1">
        <f>$B$12/(K23-K22)</f>
        <v>2.6178010471204235E-4</v>
      </c>
      <c r="M23" s="1">
        <f>-(4*PI()/3)*B29^3*($B$9-$B$8)*($B$6/$E$18)*(1-ABS(L23)/B28)</f>
        <v>1.529872213868887E-18</v>
      </c>
    </row>
    <row r="24" spans="1:17" x14ac:dyDescent="0.25">
      <c r="A24">
        <v>3</v>
      </c>
      <c r="B24">
        <v>32.61</v>
      </c>
      <c r="C24" s="1">
        <f t="shared" ref="C24:C26" si="0">$B$12/(B24-B23)</f>
        <v>4.6598322460391427E-5</v>
      </c>
      <c r="D24">
        <f>(($B$10/(2*$B$7))^2+9*E16*C24/(2*$B$6*($B$9-$B$8)))^(1/2)-$B$10/(2*$B$7)</f>
        <v>6.3512140940554901E-7</v>
      </c>
      <c r="E24" s="1">
        <f>(D24+$B$10/(2*$B$7))^(-1)*9*E16/(2*$B$6*($B$9-$B$8))*1/2*C28</f>
        <v>5.9695185182678266E-9</v>
      </c>
      <c r="F24" s="1"/>
      <c r="G24">
        <v>64.489999999999995</v>
      </c>
      <c r="H24" s="1">
        <f>$B$12/(G24-G23)</f>
        <v>1.7482517482517529E-4</v>
      </c>
      <c r="I24" s="1">
        <f>(4*PI()/3)*B29^3*($B$9-$B$8)*($B$6/E18)*(1+ABS(H24)/B28)</f>
        <v>1.5522745781613501E-18</v>
      </c>
      <c r="K24">
        <v>76.319999999999993</v>
      </c>
      <c r="L24" s="1">
        <f>$B$12/(K24-K23)</f>
        <v>2.7932960893854871E-4</v>
      </c>
      <c r="M24" s="1">
        <f>-(4*PI()/3)*B29^3*($B$9-$B$8)*($B$6/E18)*(1-ABS(L24)/B28)</f>
        <v>1.6537601984823136E-18</v>
      </c>
    </row>
    <row r="25" spans="1:17" x14ac:dyDescent="0.25">
      <c r="A25">
        <v>4</v>
      </c>
      <c r="B25">
        <v>44.02</v>
      </c>
      <c r="C25" s="1">
        <f t="shared" si="0"/>
        <v>4.3821209465381231E-5</v>
      </c>
      <c r="D25">
        <f>(($B$10/(2*$B$7))^2+9*E16*C25/(2*$B$6*($B$9-$B$8)))^(1/2)-$B$10/(2*$B$7)</f>
        <v>6.1475527483143906E-7</v>
      </c>
      <c r="E25" s="1">
        <f>(D25+$B$10/(2*$B$7))^(-1)*9*E16/(2*$B$6*($B$9-$B$8))*1/2*C28</f>
        <v>6.1550686833164345E-9</v>
      </c>
      <c r="F25" s="1"/>
      <c r="G25">
        <v>67.489999999999995</v>
      </c>
      <c r="H25" s="1">
        <f>$B$12/(G25-G24)</f>
        <v>1.6666666666666666E-4</v>
      </c>
      <c r="I25" s="1">
        <f>(4*PI()/3)*B29^3*($B$9-$B$8)*($B$6/E18)*(1+ABS(H25)/B28)</f>
        <v>1.4946808638225011E-18</v>
      </c>
      <c r="K25">
        <v>78.33</v>
      </c>
      <c r="L25" s="1">
        <f t="shared" ref="L25:L26" si="1">$B$12/(K25-K24)</f>
        <v>2.4875621890547202E-4</v>
      </c>
      <c r="M25" s="1">
        <f>-(4*PI()/3)*B29^3*($B$9-$B$8)*($B$6/E18)*(1-ABS(L25)/B28)</f>
        <v>1.4379321257851215E-18</v>
      </c>
    </row>
    <row r="26" spans="1:17" x14ac:dyDescent="0.25">
      <c r="A26">
        <v>5</v>
      </c>
      <c r="B26">
        <v>55.55</v>
      </c>
      <c r="C26" s="1">
        <f t="shared" si="0"/>
        <v>4.3365134431916759E-5</v>
      </c>
      <c r="D26">
        <f>(($B$10/(2*$B$7))^2+9*E16*C26/(2*$B$6*($B$9-$B$8)))^(1/2)-$B$10/(2*$B$7)</f>
        <v>6.1134978877984159E-7</v>
      </c>
      <c r="E26" s="1">
        <f>(D26+$B$10/(2*$B$7))^(-1)*9*E16/(2*$B$6*($B$9-$B$8))*1/2*C28</f>
        <v>6.1872266486826451E-9</v>
      </c>
      <c r="F26" s="1"/>
      <c r="G26">
        <v>70.19</v>
      </c>
      <c r="H26" s="1">
        <f>$B$12/(G26-G25)</f>
        <v>1.8518518518518499E-4</v>
      </c>
      <c r="I26" s="1">
        <f>(4*PI()/3)*B29^3*($B$9-$B$8)*($B$6/E18)*(1+ABS(H26)/B28)</f>
        <v>1.6254094535122609E-18</v>
      </c>
      <c r="K26">
        <v>80.239999999999995</v>
      </c>
      <c r="L26" s="1">
        <f t="shared" si="1"/>
        <v>2.6178010471204235E-4</v>
      </c>
      <c r="M26" s="1">
        <f>-(4*PI()/3)*B29^3*($B$9-$B$8)*($B$6/E18)*(1-ABS(L26)/B28)</f>
        <v>1.529872213868887E-18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4.5064182122105382E-5</v>
      </c>
      <c r="C28" s="1">
        <f>_xlfn.STDEV.S(C22:C26)/SQRT(COUNT(C22:C26))</f>
        <v>8.2645684899663136E-7</v>
      </c>
      <c r="F28" t="str">
        <f>J28</f>
        <v>Velocità</v>
      </c>
      <c r="G28" s="1">
        <f>AVERAGE(H22:H26)</f>
        <v>1.7112559091133996E-4</v>
      </c>
      <c r="H28" s="1">
        <f>_xlfn.STDEV.S(H22:H26)</f>
        <v>8.9481134713219244E-6</v>
      </c>
      <c r="I28" s="2">
        <f>H28/SQRT(5)</f>
        <v>4.0017179984514876E-6</v>
      </c>
      <c r="J28" t="s">
        <v>27</v>
      </c>
      <c r="K28" s="1">
        <f>AVERAGE(L22:L26)</f>
        <v>2.5148147082810655E-4</v>
      </c>
      <c r="L28" s="1">
        <f>_xlfn.STDEV.S(L22:L26)</f>
        <v>2.7773197474101663E-5</v>
      </c>
      <c r="M28" s="2">
        <f>L28/SQRT(5)</f>
        <v>1.2420551500923354E-5</v>
      </c>
    </row>
    <row r="29" spans="1:17" x14ac:dyDescent="0.25">
      <c r="A29" t="s">
        <v>5</v>
      </c>
      <c r="B29">
        <f>AVERAGE(D22:D26)</f>
        <v>6.2383779576581472E-7</v>
      </c>
      <c r="C29">
        <f>_xlfn.STDEV.S(D22:D26)/SQRT(COUNT(D22:D26))</f>
        <v>6.0469924370091454E-9</v>
      </c>
      <c r="D29" s="1">
        <f>(B29+$B$10/(2*$B$7))^(-1)*9*E16/(2*$B$6*($B$9-$B$8))*1/2*C28</f>
        <v>6.0709148351453685E-9</v>
      </c>
      <c r="F29" t="str">
        <f>J29</f>
        <v>Carica</v>
      </c>
      <c r="G29">
        <f>AVERAGE(I22:I26)</f>
        <v>1.5261579432366408E-18</v>
      </c>
      <c r="H29">
        <f>_xlfn.STDEV.S(I22:I26)</f>
        <v>6.3167809742452828E-20</v>
      </c>
      <c r="I29" s="2">
        <f>H29/SQRT(5)</f>
        <v>2.8249503314779599E-20</v>
      </c>
      <c r="J29" t="s">
        <v>33</v>
      </c>
      <c r="K29">
        <f>AVERAGE(M22:M26)</f>
        <v>1.457170616166469E-18</v>
      </c>
      <c r="L29">
        <f>_xlfn.STDEV.S(M22:M26)</f>
        <v>1.960605505960855E-19</v>
      </c>
      <c r="M29" s="2">
        <f>L29/SQRT(5)</f>
        <v>8.7680943767776817E-20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5.9138206388725877E-9</v>
      </c>
      <c r="E33">
        <v>6.1389255577205472E-9</v>
      </c>
      <c r="F33">
        <v>5.9695185182678266E-9</v>
      </c>
      <c r="G33">
        <v>6.1550686833164345E-9</v>
      </c>
      <c r="H33">
        <v>6.1872266486826451E-9</v>
      </c>
    </row>
    <row r="34" spans="1:13" x14ac:dyDescent="0.25">
      <c r="C34" t="s">
        <v>21</v>
      </c>
      <c r="D34">
        <v>6.4148424467170903E-7</v>
      </c>
      <c r="E34">
        <v>6.164782611405348E-7</v>
      </c>
      <c r="F34">
        <v>6.3512140940554901E-7</v>
      </c>
      <c r="G34">
        <v>6.1475527483143906E-7</v>
      </c>
      <c r="H34">
        <v>6.1134978877984159E-7</v>
      </c>
    </row>
    <row r="35" spans="1:13" x14ac:dyDescent="0.25">
      <c r="A35">
        <v>1</v>
      </c>
      <c r="B35" s="1">
        <f>E22</f>
        <v>5.9138206388725877E-9</v>
      </c>
      <c r="C35">
        <f>D22</f>
        <v>6.4148424467170903E-7</v>
      </c>
      <c r="D35">
        <f t="shared" ref="D35:H39" si="2">($C35-D$34)/SQRT($B35^2+D$33^2)</f>
        <v>0</v>
      </c>
      <c r="E35">
        <f t="shared" si="2"/>
        <v>2.9335749989933562</v>
      </c>
      <c r="F35">
        <f t="shared" si="2"/>
        <v>0.75722059014230747</v>
      </c>
      <c r="G35">
        <f t="shared" si="2"/>
        <v>3.1314333026458763</v>
      </c>
      <c r="H35">
        <f t="shared" si="2"/>
        <v>3.520826101338947</v>
      </c>
    </row>
    <row r="36" spans="1:13" x14ac:dyDescent="0.25">
      <c r="A36">
        <v>2</v>
      </c>
      <c r="B36">
        <f>E23</f>
        <v>6.1389255577205472E-9</v>
      </c>
      <c r="C36">
        <f>D23</f>
        <v>6.164782611405348E-7</v>
      </c>
      <c r="D36">
        <f t="shared" si="2"/>
        <v>-2.9335749989933562</v>
      </c>
      <c r="E36">
        <f t="shared" si="2"/>
        <v>0</v>
      </c>
      <c r="F36">
        <f t="shared" si="2"/>
        <v>-2.1772254894642864</v>
      </c>
      <c r="G36">
        <f t="shared" si="2"/>
        <v>0.19819990620412686</v>
      </c>
      <c r="H36">
        <f t="shared" si="2"/>
        <v>0.58839931243416765</v>
      </c>
    </row>
    <row r="37" spans="1:13" x14ac:dyDescent="0.25">
      <c r="A37">
        <v>3</v>
      </c>
      <c r="B37">
        <f>E24</f>
        <v>5.9695185182678266E-9</v>
      </c>
      <c r="C37">
        <f>D24</f>
        <v>6.3512140940554901E-7</v>
      </c>
      <c r="D37">
        <f t="shared" si="2"/>
        <v>-0.75722059014230747</v>
      </c>
      <c r="E37">
        <f t="shared" si="2"/>
        <v>2.1772254894642864</v>
      </c>
      <c r="F37">
        <f t="shared" si="2"/>
        <v>0</v>
      </c>
      <c r="G37">
        <f t="shared" si="2"/>
        <v>2.3752306866275363</v>
      </c>
      <c r="H37">
        <f t="shared" si="2"/>
        <v>2.7649472172117493</v>
      </c>
    </row>
    <row r="38" spans="1:13" x14ac:dyDescent="0.25">
      <c r="A38">
        <v>4</v>
      </c>
      <c r="B38">
        <f>E25</f>
        <v>6.1550686833164345E-9</v>
      </c>
      <c r="C38">
        <f>D25</f>
        <v>6.1475527483143906E-7</v>
      </c>
      <c r="D38">
        <f t="shared" si="2"/>
        <v>-3.1314333026458763</v>
      </c>
      <c r="E38">
        <f t="shared" si="2"/>
        <v>-0.19819990620412686</v>
      </c>
      <c r="F38">
        <f t="shared" si="2"/>
        <v>-2.3752306866275363</v>
      </c>
      <c r="G38">
        <f t="shared" si="2"/>
        <v>0</v>
      </c>
      <c r="H38">
        <f t="shared" si="2"/>
        <v>0.39020847287724569</v>
      </c>
    </row>
    <row r="39" spans="1:13" x14ac:dyDescent="0.25">
      <c r="A39">
        <v>5</v>
      </c>
      <c r="B39">
        <f>E26</f>
        <v>6.1872266486826451E-9</v>
      </c>
      <c r="C39">
        <f>D26</f>
        <v>6.1134978877984159E-7</v>
      </c>
      <c r="D39">
        <f t="shared" si="2"/>
        <v>-3.520826101338947</v>
      </c>
      <c r="E39">
        <f t="shared" si="2"/>
        <v>-0.58839931243416765</v>
      </c>
      <c r="F39">
        <f t="shared" si="2"/>
        <v>-2.7649472172117493</v>
      </c>
      <c r="G39">
        <f t="shared" si="2"/>
        <v>-0.39020847287724569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6.3167809742452828E-20</v>
      </c>
      <c r="E42">
        <v>6.3167809742452828E-20</v>
      </c>
      <c r="F42">
        <v>6.3167809742452828E-20</v>
      </c>
      <c r="G42">
        <v>6.3167809742452828E-20</v>
      </c>
      <c r="H42">
        <v>6.3167809742452828E-20</v>
      </c>
      <c r="I42">
        <v>1.960605505960855E-19</v>
      </c>
      <c r="J42">
        <v>1.960605505960855E-19</v>
      </c>
      <c r="K42">
        <v>1.960605505960855E-19</v>
      </c>
      <c r="L42">
        <v>1.960605505960855E-19</v>
      </c>
      <c r="M42">
        <v>1.960605505960855E-19</v>
      </c>
    </row>
    <row r="43" spans="1:13" x14ac:dyDescent="0.25">
      <c r="C43" t="s">
        <v>35</v>
      </c>
      <c r="D43">
        <v>1.4830317815729182E-18</v>
      </c>
      <c r="E43">
        <v>1.4753930391141742E-18</v>
      </c>
      <c r="F43">
        <v>1.5522745781613501E-18</v>
      </c>
      <c r="G43">
        <v>1.4946808638225011E-18</v>
      </c>
      <c r="H43">
        <v>1.6254094535122609E-18</v>
      </c>
      <c r="I43">
        <v>1.1344163288271358E-18</v>
      </c>
      <c r="J43">
        <v>1.529872213868887E-18</v>
      </c>
      <c r="K43">
        <v>1.6537601984823136E-18</v>
      </c>
      <c r="L43">
        <v>1.4379321257851215E-18</v>
      </c>
      <c r="M43">
        <v>1.529872213868887E-18</v>
      </c>
    </row>
    <row r="44" spans="1:13" x14ac:dyDescent="0.25">
      <c r="A44">
        <v>1</v>
      </c>
      <c r="B44">
        <f>$H$29</f>
        <v>6.3167809742452828E-20</v>
      </c>
      <c r="C44" s="1">
        <f>I22</f>
        <v>1.4830317815729182E-18</v>
      </c>
      <c r="D44">
        <f>($C44-D$43)/SQRT($B44^2+D$42^2)</f>
        <v>0</v>
      </c>
      <c r="E44">
        <f t="shared" ref="E44:M44" si="3">($C44-E$43)/SQRT($B44^2+E$42^2)</f>
        <v>8.5508847217246164E-2</v>
      </c>
      <c r="F44">
        <f t="shared" si="3"/>
        <v>-0.77511079164575314</v>
      </c>
      <c r="G44">
        <f t="shared" si="3"/>
        <v>-0.13040099200628139</v>
      </c>
      <c r="H44">
        <f t="shared" si="3"/>
        <v>-1.5937899022989537</v>
      </c>
      <c r="I44">
        <f t="shared" si="3"/>
        <v>1.6924294342046042</v>
      </c>
      <c r="J44">
        <f t="shared" si="3"/>
        <v>-0.22739705226541934</v>
      </c>
      <c r="K44">
        <f t="shared" si="3"/>
        <v>-0.82883818189012126</v>
      </c>
      <c r="L44">
        <f t="shared" si="3"/>
        <v>0.21894607461196836</v>
      </c>
      <c r="M44">
        <f t="shared" si="3"/>
        <v>-0.22739705226541934</v>
      </c>
    </row>
    <row r="45" spans="1:13" x14ac:dyDescent="0.25">
      <c r="A45">
        <v>2</v>
      </c>
      <c r="B45">
        <f t="shared" ref="B45:B48" si="4">$H$29</f>
        <v>6.3167809742452828E-20</v>
      </c>
      <c r="C45" s="1">
        <f t="shared" ref="C45:C48" si="5">I23</f>
        <v>1.4753930391141742E-18</v>
      </c>
      <c r="D45">
        <f t="shared" ref="D45:M53" si="6">($C45-D$43)/SQRT($B45^2+D$42^2)</f>
        <v>-8.5508847217246164E-2</v>
      </c>
      <c r="E45">
        <f t="shared" si="6"/>
        <v>0</v>
      </c>
      <c r="F45">
        <f t="shared" si="6"/>
        <v>-0.8606196388629993</v>
      </c>
      <c r="G45">
        <f t="shared" si="6"/>
        <v>-0.21590983922352755</v>
      </c>
      <c r="H45">
        <f t="shared" si="6"/>
        <v>-1.6792987495161997</v>
      </c>
      <c r="I45">
        <f t="shared" si="6"/>
        <v>1.6553454998131067</v>
      </c>
      <c r="J45">
        <f t="shared" si="6"/>
        <v>-0.26448098665691677</v>
      </c>
      <c r="K45">
        <f t="shared" si="6"/>
        <v>-0.86592211628161864</v>
      </c>
      <c r="L45">
        <f t="shared" si="6"/>
        <v>0.18186214022047092</v>
      </c>
      <c r="M45">
        <f t="shared" si="6"/>
        <v>-0.26448098665691677</v>
      </c>
    </row>
    <row r="46" spans="1:13" x14ac:dyDescent="0.25">
      <c r="A46">
        <v>3</v>
      </c>
      <c r="B46">
        <f t="shared" si="4"/>
        <v>6.3167809742452828E-20</v>
      </c>
      <c r="C46" s="1">
        <f t="shared" si="5"/>
        <v>1.5522745781613501E-18</v>
      </c>
      <c r="D46">
        <f t="shared" si="6"/>
        <v>0.77511079164575314</v>
      </c>
      <c r="E46">
        <f t="shared" si="6"/>
        <v>0.8606196388629993</v>
      </c>
      <c r="F46">
        <f t="shared" si="6"/>
        <v>0</v>
      </c>
      <c r="G46">
        <f t="shared" si="6"/>
        <v>0.64470979963947173</v>
      </c>
      <c r="H46">
        <f t="shared" si="6"/>
        <v>-0.81867911065320054</v>
      </c>
      <c r="I46">
        <f t="shared" si="6"/>
        <v>2.0285836296939261</v>
      </c>
      <c r="J46">
        <f t="shared" si="6"/>
        <v>0.10875714322390276</v>
      </c>
      <c r="K46">
        <f t="shared" si="6"/>
        <v>-0.49268398640079913</v>
      </c>
      <c r="L46">
        <f t="shared" si="6"/>
        <v>0.55510027010129048</v>
      </c>
      <c r="M46">
        <f t="shared" si="6"/>
        <v>0.10875714322390276</v>
      </c>
    </row>
    <row r="47" spans="1:13" x14ac:dyDescent="0.25">
      <c r="A47">
        <v>4</v>
      </c>
      <c r="B47">
        <f t="shared" si="4"/>
        <v>6.3167809742452828E-20</v>
      </c>
      <c r="C47" s="1">
        <f t="shared" si="5"/>
        <v>1.4946808638225011E-18</v>
      </c>
      <c r="D47">
        <f t="shared" si="6"/>
        <v>0.13040099200628139</v>
      </c>
      <c r="E47">
        <f t="shared" si="6"/>
        <v>0.21590983922352755</v>
      </c>
      <c r="F47">
        <f t="shared" si="6"/>
        <v>-0.64470979963947173</v>
      </c>
      <c r="G47">
        <f t="shared" si="6"/>
        <v>0</v>
      </c>
      <c r="H47">
        <f t="shared" si="6"/>
        <v>-1.4633889102926723</v>
      </c>
      <c r="I47">
        <f t="shared" si="6"/>
        <v>1.7489824341516296</v>
      </c>
      <c r="J47">
        <f t="shared" si="6"/>
        <v>-0.170844052318394</v>
      </c>
      <c r="K47">
        <f t="shared" si="6"/>
        <v>-0.77228518194309592</v>
      </c>
      <c r="L47">
        <f t="shared" si="6"/>
        <v>0.2754990745589937</v>
      </c>
      <c r="M47">
        <f t="shared" si="6"/>
        <v>-0.170844052318394</v>
      </c>
    </row>
    <row r="48" spans="1:13" x14ac:dyDescent="0.25">
      <c r="A48">
        <v>5</v>
      </c>
      <c r="B48">
        <f t="shared" si="4"/>
        <v>6.3167809742452828E-20</v>
      </c>
      <c r="C48" s="1">
        <f t="shared" si="5"/>
        <v>1.6254094535122609E-18</v>
      </c>
      <c r="D48">
        <f t="shared" si="6"/>
        <v>1.5937899022989537</v>
      </c>
      <c r="E48">
        <f t="shared" si="6"/>
        <v>1.6792987495161997</v>
      </c>
      <c r="F48">
        <f t="shared" si="6"/>
        <v>0.81867911065320054</v>
      </c>
      <c r="G48">
        <f t="shared" si="6"/>
        <v>1.4633889102926723</v>
      </c>
      <c r="H48">
        <f t="shared" si="6"/>
        <v>0</v>
      </c>
      <c r="I48">
        <f t="shared" si="6"/>
        <v>2.3836327668904516</v>
      </c>
      <c r="J48">
        <f t="shared" si="6"/>
        <v>0.4638062804204281</v>
      </c>
      <c r="K48">
        <f t="shared" si="6"/>
        <v>-0.13763484920427382</v>
      </c>
      <c r="L48">
        <f t="shared" si="6"/>
        <v>0.91014940729781579</v>
      </c>
      <c r="M48">
        <f t="shared" si="6"/>
        <v>0.4638062804204281</v>
      </c>
    </row>
    <row r="49" spans="1:13" x14ac:dyDescent="0.25">
      <c r="A49">
        <v>6</v>
      </c>
      <c r="B49">
        <f>$L$29</f>
        <v>1.960605505960855E-19</v>
      </c>
      <c r="C49" s="1">
        <f>M22</f>
        <v>1.1344163288271358E-18</v>
      </c>
      <c r="D49">
        <f t="shared" si="6"/>
        <v>-1.6924294342046042</v>
      </c>
      <c r="E49">
        <f t="shared" si="6"/>
        <v>-1.6553454998131067</v>
      </c>
      <c r="F49">
        <f t="shared" si="6"/>
        <v>-2.0285836296939261</v>
      </c>
      <c r="G49">
        <f t="shared" si="6"/>
        <v>-1.7489824341516296</v>
      </c>
      <c r="H49">
        <f t="shared" si="6"/>
        <v>-2.3836327668904516</v>
      </c>
      <c r="I49">
        <f t="shared" si="6"/>
        <v>0</v>
      </c>
      <c r="J49">
        <f t="shared" si="6"/>
        <v>-1.4262407053483666</v>
      </c>
      <c r="K49">
        <f t="shared" si="6"/>
        <v>-1.8730518244712651</v>
      </c>
      <c r="L49">
        <f t="shared" si="6"/>
        <v>-1.094652022417181</v>
      </c>
      <c r="M49">
        <f t="shared" si="6"/>
        <v>-1.4262407053483666</v>
      </c>
    </row>
    <row r="50" spans="1:13" x14ac:dyDescent="0.25">
      <c r="A50">
        <v>7</v>
      </c>
      <c r="B50">
        <f t="shared" ref="B50:B53" si="7">$L$29</f>
        <v>1.960605505960855E-19</v>
      </c>
      <c r="C50" s="1">
        <f t="shared" ref="C50:C53" si="8">M23</f>
        <v>1.529872213868887E-18</v>
      </c>
      <c r="D50">
        <f t="shared" si="6"/>
        <v>0.22739705226541934</v>
      </c>
      <c r="E50">
        <f t="shared" si="6"/>
        <v>0.26448098665691677</v>
      </c>
      <c r="F50">
        <f t="shared" si="6"/>
        <v>-0.10875714322390276</v>
      </c>
      <c r="G50">
        <f t="shared" si="6"/>
        <v>0.170844052318394</v>
      </c>
      <c r="H50">
        <f t="shared" si="6"/>
        <v>-0.4638062804204281</v>
      </c>
      <c r="I50">
        <f t="shared" si="6"/>
        <v>1.4262407053483666</v>
      </c>
      <c r="J50">
        <f t="shared" si="6"/>
        <v>0</v>
      </c>
      <c r="K50">
        <f t="shared" si="6"/>
        <v>-0.44681111912289839</v>
      </c>
      <c r="L50">
        <f t="shared" si="6"/>
        <v>0.33158868293118571</v>
      </c>
      <c r="M50">
        <f t="shared" si="6"/>
        <v>0</v>
      </c>
    </row>
    <row r="51" spans="1:13" x14ac:dyDescent="0.25">
      <c r="A51">
        <v>8</v>
      </c>
      <c r="B51">
        <f t="shared" si="7"/>
        <v>1.960605505960855E-19</v>
      </c>
      <c r="C51" s="1">
        <f t="shared" si="8"/>
        <v>1.6537601984823136E-18</v>
      </c>
      <c r="D51">
        <f t="shared" si="6"/>
        <v>0.82883818189012126</v>
      </c>
      <c r="E51">
        <f t="shared" si="6"/>
        <v>0.86592211628161864</v>
      </c>
      <c r="F51">
        <f t="shared" si="6"/>
        <v>0.49268398640079913</v>
      </c>
      <c r="G51">
        <f t="shared" si="6"/>
        <v>0.77228518194309592</v>
      </c>
      <c r="H51">
        <f t="shared" si="6"/>
        <v>0.13763484920427382</v>
      </c>
      <c r="I51">
        <f t="shared" si="6"/>
        <v>1.8730518244712651</v>
      </c>
      <c r="J51">
        <f t="shared" si="6"/>
        <v>0.44681111912289839</v>
      </c>
      <c r="K51">
        <f t="shared" si="6"/>
        <v>0</v>
      </c>
      <c r="L51">
        <f t="shared" si="6"/>
        <v>0.7783998020540841</v>
      </c>
      <c r="M51">
        <f t="shared" si="6"/>
        <v>0.44681111912289839</v>
      </c>
    </row>
    <row r="52" spans="1:13" x14ac:dyDescent="0.25">
      <c r="A52">
        <v>9</v>
      </c>
      <c r="B52">
        <f t="shared" si="7"/>
        <v>1.960605505960855E-19</v>
      </c>
      <c r="C52" s="1">
        <f t="shared" si="8"/>
        <v>1.4379321257851215E-18</v>
      </c>
      <c r="D52">
        <f t="shared" si="6"/>
        <v>-0.21894607461196836</v>
      </c>
      <c r="E52">
        <f t="shared" si="6"/>
        <v>-0.18186214022047092</v>
      </c>
      <c r="F52">
        <f t="shared" si="6"/>
        <v>-0.55510027010129048</v>
      </c>
      <c r="G52">
        <f t="shared" si="6"/>
        <v>-0.2754990745589937</v>
      </c>
      <c r="H52">
        <f t="shared" si="6"/>
        <v>-0.91014940729781579</v>
      </c>
      <c r="I52">
        <f t="shared" si="6"/>
        <v>1.094652022417181</v>
      </c>
      <c r="J52">
        <f t="shared" si="6"/>
        <v>-0.33158868293118571</v>
      </c>
      <c r="K52">
        <f t="shared" si="6"/>
        <v>-0.7783998020540841</v>
      </c>
      <c r="L52">
        <f t="shared" si="6"/>
        <v>0</v>
      </c>
      <c r="M52">
        <f t="shared" si="6"/>
        <v>-0.33158868293118571</v>
      </c>
    </row>
    <row r="53" spans="1:13" x14ac:dyDescent="0.25">
      <c r="A53">
        <v>10</v>
      </c>
      <c r="B53">
        <f t="shared" si="7"/>
        <v>1.960605505960855E-19</v>
      </c>
      <c r="C53" s="1">
        <f t="shared" si="8"/>
        <v>1.529872213868887E-18</v>
      </c>
      <c r="D53">
        <f t="shared" si="6"/>
        <v>0.22739705226541934</v>
      </c>
      <c r="E53">
        <f t="shared" si="6"/>
        <v>0.26448098665691677</v>
      </c>
      <c r="F53">
        <f t="shared" si="6"/>
        <v>-0.10875714322390276</v>
      </c>
      <c r="G53">
        <f t="shared" si="6"/>
        <v>0.170844052318394</v>
      </c>
      <c r="H53">
        <f t="shared" si="6"/>
        <v>-0.4638062804204281</v>
      </c>
      <c r="I53">
        <f t="shared" si="6"/>
        <v>1.4262407053483666</v>
      </c>
      <c r="J53">
        <f t="shared" si="6"/>
        <v>0</v>
      </c>
      <c r="K53">
        <f t="shared" si="6"/>
        <v>-0.44681111912289839</v>
      </c>
      <c r="L53">
        <f t="shared" si="6"/>
        <v>0.33158868293118571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8" priority="3" operator="greaterThan">
      <formula>1.96</formula>
    </cfRule>
  </conditionalFormatting>
  <conditionalFormatting sqref="D36:H39">
    <cfRule type="cellIs" dxfId="17" priority="2" operator="notBetween">
      <formula>-1.96</formula>
      <formula>1.96</formula>
    </cfRule>
  </conditionalFormatting>
  <conditionalFormatting sqref="D35:H35">
    <cfRule type="cellIs" dxfId="16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8" zoomScaleNormal="100" workbookViewId="0">
      <selection activeCell="E22" sqref="E22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2.9947617320833504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7" x14ac:dyDescent="0.25">
      <c r="A17" t="s">
        <v>23</v>
      </c>
      <c r="B17">
        <v>2.25</v>
      </c>
      <c r="D17" t="s">
        <v>1</v>
      </c>
      <c r="E17" s="2">
        <f>E16/(1+$B$10/($B$7*B29))</f>
        <v>1.5776367498888081E-5</v>
      </c>
    </row>
    <row r="18" spans="1:17" x14ac:dyDescent="0.25">
      <c r="A18" t="s">
        <v>24</v>
      </c>
      <c r="B18">
        <v>20.5</v>
      </c>
      <c r="D18" t="s">
        <v>32</v>
      </c>
      <c r="E18" s="1">
        <f>B16/B5</f>
        <v>26917.900403768504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5.467353301665626E-5</v>
      </c>
      <c r="I19">
        <f>_xlfn.STDEV.S(H22:H26)</f>
        <v>3.1027962802511154E-6</v>
      </c>
      <c r="J19" s="1">
        <f>H19-2*I19</f>
        <v>4.8467940456154029E-5</v>
      </c>
      <c r="K19" s="1">
        <f>H19+2*I19</f>
        <v>6.0879125577158492E-5</v>
      </c>
      <c r="M19" t="s">
        <v>44</v>
      </c>
      <c r="N19" s="1">
        <f>AVERAGE(L22:L26)</f>
        <v>1.146814819403885E-4</v>
      </c>
      <c r="O19">
        <f>_xlfn.STDEV.S(L22:L26)</f>
        <v>7.1261216085109903E-6</v>
      </c>
      <c r="P19" s="1">
        <f>N19-2*O19</f>
        <v>1.0042923872336651E-4</v>
      </c>
      <c r="Q19" s="1">
        <f>N19+2*O19</f>
        <v>1.2893372515741049E-4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7" x14ac:dyDescent="0.25">
      <c r="A22">
        <v>1</v>
      </c>
      <c r="B22">
        <v>17.03</v>
      </c>
      <c r="C22" s="1">
        <f>B12/B22</f>
        <v>2.9359953024075161E-5</v>
      </c>
      <c r="D22">
        <f>(($B$10/(2*$B$7))^2+9*E16*C22/(2*$B$6*($B$9-$B$8)))^(1/2)-$B$10/(2*$B$7)</f>
        <v>4.9635726798033922E-7</v>
      </c>
      <c r="E22" s="1">
        <f>(D22+$B$10/(2*$B$7))^(-1)*9*E16/(2*$B$6*($B$9-$B$8))*1/2*C28</f>
        <v>1.0855768302751666E-8</v>
      </c>
      <c r="F22" s="1"/>
      <c r="G22">
        <v>89.19</v>
      </c>
      <c r="H22" s="1">
        <f>$B$12/(G22-B26)</f>
        <v>5.5803571428571467E-5</v>
      </c>
      <c r="I22" s="1">
        <f>(4*PI()/3)*B29^3*($B$9-$B$8)*($B$6/E18)*(1+ABS(H22)/B28)</f>
        <v>4.9376276250971849E-19</v>
      </c>
      <c r="K22">
        <v>130.31</v>
      </c>
      <c r="L22" s="1">
        <f>B12/(K22-G26)</f>
        <v>1.1820330969267128E-4</v>
      </c>
      <c r="M22" s="1">
        <f>-(4*PI()/3)*B29^3*($B$9-$B$8)*($B$6/$E$18)*(1-ABS(L22)/B28)</f>
        <v>4.9222385823337743E-19</v>
      </c>
    </row>
    <row r="23" spans="1:17" x14ac:dyDescent="0.25">
      <c r="A23">
        <v>2</v>
      </c>
      <c r="B23">
        <v>31.23</v>
      </c>
      <c r="C23" s="1">
        <f>$B$12/(B23-B22)</f>
        <v>3.5211267605633805E-5</v>
      </c>
      <c r="D23">
        <f>(($B$10/(2*$B$7))^2+9*E16*C23/(2*$B$6*($B$9-$B$8)))^(1/2)-$B$10/(2*$B$7)</f>
        <v>5.471440486498903E-7</v>
      </c>
      <c r="E23" s="1">
        <f>(D23+$B$10/(2*$B$7))^(-1)*9*E16/(2*$B$6*($B$9-$B$8))*1/2*C28</f>
        <v>9.9175073954941619E-9</v>
      </c>
      <c r="F23" s="1"/>
      <c r="G23">
        <v>98.03</v>
      </c>
      <c r="H23" s="1">
        <f>$B$12/(G23-G22)</f>
        <v>5.6561085972850661E-5</v>
      </c>
      <c r="I23" s="1">
        <f>(4*PI()/3)*B29^3*($B$9-$B$8)*($B$6/E18)*(1+ABS(H23)/B28)</f>
        <v>4.9805511693193908E-19</v>
      </c>
      <c r="K23">
        <v>134.4</v>
      </c>
      <c r="L23" s="1">
        <f>$B$12/(K23-K22)</f>
        <v>1.2224938875305614E-4</v>
      </c>
      <c r="M23" s="1">
        <f>-(4*PI()/3)*B29^3*($B$9-$B$8)*($B$6/$E$18)*(1-ABS(L23)/B28)</f>
        <v>5.1515042179397928E-19</v>
      </c>
    </row>
    <row r="24" spans="1:17" x14ac:dyDescent="0.25">
      <c r="A24">
        <v>3</v>
      </c>
      <c r="B24">
        <v>47.66</v>
      </c>
      <c r="C24" s="1">
        <f t="shared" ref="C24:C26" si="0">$B$12/(B24-B23)</f>
        <v>3.0432136335970792E-5</v>
      </c>
      <c r="D24">
        <f>(($B$10/(2*$B$7))^2+9*E16*C24/(2*$B$6*($B$9-$B$8)))^(1/2)-$B$10/(2*$B$7)</f>
        <v>5.0601664096213108E-7</v>
      </c>
      <c r="E24" s="1">
        <f>(D24+$B$10/(2*$B$7))^(-1)*9*E16/(2*$B$6*($B$9-$B$8))*1/2*C28</f>
        <v>1.0663886037932933E-8</v>
      </c>
      <c r="F24" s="1"/>
      <c r="G24">
        <v>108.1</v>
      </c>
      <c r="H24" s="1">
        <f>$B$12/(G24-G23)</f>
        <v>4.9652432969215525E-5</v>
      </c>
      <c r="I24" s="1">
        <f>(4*PI()/3)*B29^3*($B$9-$B$8)*($B$6/E18)*(1+ABS(H24)/B28)</f>
        <v>4.5890816259859554E-19</v>
      </c>
      <c r="K24">
        <v>138.84</v>
      </c>
      <c r="L24" s="1">
        <f>$B$12/(K24-K23)</f>
        <v>1.1261261261261267E-4</v>
      </c>
      <c r="M24" s="1">
        <f>-(4*PI()/3)*B29^3*($B$9-$B$8)*($B$6/E18)*(1-ABS(L24)/B28)</f>
        <v>4.6054492412430367E-19</v>
      </c>
    </row>
    <row r="25" spans="1:17" x14ac:dyDescent="0.25">
      <c r="A25">
        <v>4</v>
      </c>
      <c r="B25">
        <v>62.87</v>
      </c>
      <c r="C25" s="1">
        <f t="shared" si="0"/>
        <v>3.2873109796186718E-5</v>
      </c>
      <c r="D25">
        <f>(($B$10/(2*$B$7))^2+9*E16*C25/(2*$B$6*($B$9-$B$8)))^(1/2)-$B$10/(2*$B$7)</f>
        <v>5.2739502456862092E-7</v>
      </c>
      <c r="E25" s="1">
        <f>(D25+$B$10/(2*$B$7))^(-1)*9*E16/(2*$B$6*($B$9-$B$8))*1/2*C28</f>
        <v>1.0262418956788717E-8</v>
      </c>
      <c r="F25" s="1"/>
      <c r="G25">
        <v>116.8</v>
      </c>
      <c r="H25" s="1">
        <f>$B$12/(G25-G24)</f>
        <v>5.7471264367816076E-5</v>
      </c>
      <c r="I25" s="1">
        <f>(4*PI()/3)*B29^3*($B$9-$B$8)*($B$6/E18)*(1+ABS(H25)/B28)</f>
        <v>5.0321252055955793E-19</v>
      </c>
      <c r="K25">
        <v>143.66999999999999</v>
      </c>
      <c r="L25" s="1">
        <f t="shared" ref="L25:L26" si="1">$B$12/(K25-K24)</f>
        <v>1.0351966873706038E-4</v>
      </c>
      <c r="M25" s="1">
        <f>-(4*PI()/3)*B29^3*($B$9-$B$8)*($B$6/E18)*(1-ABS(L25)/B28)</f>
        <v>4.0902097894069032E-19</v>
      </c>
    </row>
    <row r="26" spans="1:17" x14ac:dyDescent="0.25">
      <c r="A26">
        <v>5</v>
      </c>
      <c r="B26">
        <v>80.23</v>
      </c>
      <c r="C26" s="1">
        <f t="shared" si="0"/>
        <v>2.880184331797234E-5</v>
      </c>
      <c r="D26">
        <f>(($B$10/(2*$B$7))^2+9*E16*C26/(2*$B$6*($B$9-$B$8)))^(1/2)-$B$10/(2*$B$7)</f>
        <v>4.9125978080470561E-7</v>
      </c>
      <c r="E26" s="1">
        <f>(D26+$B$10/(2*$B$7))^(-1)*9*E16/(2*$B$6*($B$9-$B$8))*1/2*C28</f>
        <v>1.0959839545949233E-8</v>
      </c>
      <c r="F26" s="1"/>
      <c r="G26">
        <v>126.08</v>
      </c>
      <c r="H26" s="1">
        <f>$B$12/(G26-G25)</f>
        <v>5.3879310344827579E-5</v>
      </c>
      <c r="I26" s="1">
        <f>(4*PI()/3)*B29^3*($B$9-$B$8)*($B$6/E18)*(1+ABS(H26)/B28)</f>
        <v>4.8285919552913399E-19</v>
      </c>
      <c r="K26">
        <v>147.94999999999999</v>
      </c>
      <c r="L26" s="1">
        <f t="shared" si="1"/>
        <v>1.1682242990654203E-4</v>
      </c>
      <c r="M26" s="1">
        <f>-(4*PI()/3)*B29^3*($B$9-$B$8)*($B$6/E18)*(1-ABS(L26)/B28)</f>
        <v>4.8439928839335285E-19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3.1335662015967765E-5</v>
      </c>
      <c r="C28" s="1">
        <f>_xlfn.STDEV.S(C22:C26)/SQRT(COUNT(C22:C26))</f>
        <v>1.1942379627386108E-6</v>
      </c>
      <c r="F28" t="str">
        <f>J28</f>
        <v>Velocità</v>
      </c>
      <c r="G28" s="1">
        <f>AVERAGE(H22:H26)</f>
        <v>5.467353301665626E-5</v>
      </c>
      <c r="H28" s="1">
        <f>_xlfn.STDEV.S(H22:H26)</f>
        <v>3.1027962802511154E-6</v>
      </c>
      <c r="I28" s="2">
        <f>H28/SQRT(5)</f>
        <v>1.3876126805949965E-6</v>
      </c>
      <c r="J28" t="s">
        <v>27</v>
      </c>
      <c r="K28" s="1">
        <f>AVERAGE(L22:L26)</f>
        <v>1.146814819403885E-4</v>
      </c>
      <c r="L28" s="1">
        <f>_xlfn.STDEV.S(L22:L26)</f>
        <v>7.1261216085109903E-6</v>
      </c>
      <c r="M28" s="2">
        <f>L28/SQRT(5)</f>
        <v>3.1868984665121433E-6</v>
      </c>
    </row>
    <row r="29" spans="1:17" x14ac:dyDescent="0.25">
      <c r="A29" t="s">
        <v>5</v>
      </c>
      <c r="B29">
        <f>AVERAGE(D22:D26)</f>
        <v>5.1363455259313738E-7</v>
      </c>
      <c r="C29">
        <f>_xlfn.STDEV.S(D22:D26)/SQRT(COUNT(D22:D26))</f>
        <v>1.0414903909204977E-8</v>
      </c>
      <c r="D29" s="1">
        <f>(B29+$B$10/(2*$B$7))^(-1)*9*E16/(2*$B$6*($B$9-$B$8))*1/2*C28</f>
        <v>1.0517275723730709E-8</v>
      </c>
      <c r="F29" t="str">
        <f>J29</f>
        <v>Carica</v>
      </c>
      <c r="G29">
        <f>AVERAGE(I22:I26)</f>
        <v>4.8735955162578903E-19</v>
      </c>
      <c r="H29">
        <f>_xlfn.STDEV.S(I22:I26)</f>
        <v>1.7581578380727379E-20</v>
      </c>
      <c r="I29" s="2">
        <f>H29/SQRT(5)</f>
        <v>7.8627208822094193E-21</v>
      </c>
      <c r="J29" t="s">
        <v>33</v>
      </c>
      <c r="K29">
        <f>AVERAGE(M22:M26)</f>
        <v>4.7226789429714066E-19</v>
      </c>
      <c r="L29">
        <f>_xlfn.STDEV.S(M22:M26)</f>
        <v>4.0379210974331624E-20</v>
      </c>
      <c r="M29" s="2">
        <f>L29/SQRT(5)</f>
        <v>1.8058132123282204E-20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1.0855768302751666E-8</v>
      </c>
      <c r="E33">
        <v>9.9175073954941619E-9</v>
      </c>
      <c r="F33">
        <v>1.0663886037932933E-8</v>
      </c>
      <c r="G33">
        <v>1.0262418956788717E-8</v>
      </c>
      <c r="H33">
        <v>1.0959839545949233E-8</v>
      </c>
    </row>
    <row r="34" spans="1:13" x14ac:dyDescent="0.25">
      <c r="C34" t="s">
        <v>21</v>
      </c>
      <c r="D34">
        <v>4.9635726798033922E-7</v>
      </c>
      <c r="E34">
        <v>5.471440486498903E-7</v>
      </c>
      <c r="F34">
        <v>5.0601664096213108E-7</v>
      </c>
      <c r="G34">
        <v>5.2739502456862092E-7</v>
      </c>
      <c r="H34">
        <v>4.9125978080470561E-7</v>
      </c>
    </row>
    <row r="35" spans="1:13" x14ac:dyDescent="0.25">
      <c r="A35">
        <v>1</v>
      </c>
      <c r="B35" s="1">
        <f>E22</f>
        <v>1.0855768302751666E-8</v>
      </c>
      <c r="C35">
        <f>D22</f>
        <v>4.9635726798033922E-7</v>
      </c>
      <c r="D35">
        <f t="shared" ref="D35:H39" si="2">($C35-D$34)/SQRT($B35^2+D$33^2)</f>
        <v>0</v>
      </c>
      <c r="E35">
        <f t="shared" si="2"/>
        <v>-3.4539668146497373</v>
      </c>
      <c r="F35">
        <f t="shared" si="2"/>
        <v>-0.63476267088153104</v>
      </c>
      <c r="G35">
        <f t="shared" si="2"/>
        <v>-2.0776736485856424</v>
      </c>
      <c r="H35">
        <f t="shared" si="2"/>
        <v>0.33044476780529591</v>
      </c>
    </row>
    <row r="36" spans="1:13" x14ac:dyDescent="0.25">
      <c r="A36">
        <v>2</v>
      </c>
      <c r="B36">
        <f>E23</f>
        <v>9.9175073954941619E-9</v>
      </c>
      <c r="C36">
        <f>D23</f>
        <v>5.471440486498903E-7</v>
      </c>
      <c r="D36">
        <f t="shared" si="2"/>
        <v>3.4539668146497373</v>
      </c>
      <c r="E36">
        <f t="shared" si="2"/>
        <v>0</v>
      </c>
      <c r="F36">
        <f t="shared" si="2"/>
        <v>2.8241396618935091</v>
      </c>
      <c r="G36">
        <f t="shared" si="2"/>
        <v>1.3838137268170461</v>
      </c>
      <c r="H36">
        <f t="shared" si="2"/>
        <v>3.7808431069870205</v>
      </c>
    </row>
    <row r="37" spans="1:13" x14ac:dyDescent="0.25">
      <c r="A37">
        <v>3</v>
      </c>
      <c r="B37">
        <f>E24</f>
        <v>1.0663886037932933E-8</v>
      </c>
      <c r="C37">
        <f>D24</f>
        <v>5.0601664096213108E-7</v>
      </c>
      <c r="D37">
        <f t="shared" si="2"/>
        <v>0.63476267088153104</v>
      </c>
      <c r="E37">
        <f t="shared" si="2"/>
        <v>-2.8241396618935091</v>
      </c>
      <c r="F37">
        <f t="shared" si="2"/>
        <v>0</v>
      </c>
      <c r="G37">
        <f t="shared" si="2"/>
        <v>-1.4444995301718371</v>
      </c>
      <c r="H37">
        <f t="shared" si="2"/>
        <v>0.96502322574968113</v>
      </c>
    </row>
    <row r="38" spans="1:13" x14ac:dyDescent="0.25">
      <c r="A38">
        <v>4</v>
      </c>
      <c r="B38">
        <f>E25</f>
        <v>1.0262418956788717E-8</v>
      </c>
      <c r="C38">
        <f>D25</f>
        <v>5.2739502456862092E-7</v>
      </c>
      <c r="D38">
        <f t="shared" si="2"/>
        <v>2.0776736485856424</v>
      </c>
      <c r="E38">
        <f t="shared" si="2"/>
        <v>-1.3838137268170461</v>
      </c>
      <c r="F38">
        <f t="shared" si="2"/>
        <v>1.4444995301718371</v>
      </c>
      <c r="G38">
        <f t="shared" si="2"/>
        <v>0</v>
      </c>
      <c r="H38">
        <f t="shared" si="2"/>
        <v>2.4066891677849691</v>
      </c>
    </row>
    <row r="39" spans="1:13" x14ac:dyDescent="0.25">
      <c r="A39">
        <v>5</v>
      </c>
      <c r="B39">
        <f>E26</f>
        <v>1.0959839545949233E-8</v>
      </c>
      <c r="C39">
        <f>D26</f>
        <v>4.9125978080470561E-7</v>
      </c>
      <c r="D39">
        <f t="shared" si="2"/>
        <v>-0.33044476780529591</v>
      </c>
      <c r="E39">
        <f t="shared" si="2"/>
        <v>-3.7808431069870205</v>
      </c>
      <c r="F39">
        <f t="shared" si="2"/>
        <v>-0.96502322574968113</v>
      </c>
      <c r="G39">
        <f t="shared" si="2"/>
        <v>-2.4066891677849691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1.7581578380727379E-20</v>
      </c>
      <c r="E42">
        <v>1.7581578380727379E-20</v>
      </c>
      <c r="F42">
        <v>1.7581578380727379E-20</v>
      </c>
      <c r="G42">
        <v>1.7581578380727379E-20</v>
      </c>
      <c r="H42">
        <v>1.7581578380727379E-20</v>
      </c>
      <c r="I42">
        <v>4.0379210974331624E-20</v>
      </c>
      <c r="J42">
        <v>4.0379210974331624E-20</v>
      </c>
      <c r="K42">
        <v>4.0379210974331624E-20</v>
      </c>
      <c r="L42">
        <v>4.0379210974331624E-20</v>
      </c>
      <c r="M42">
        <v>4.0379210974331624E-20</v>
      </c>
    </row>
    <row r="43" spans="1:13" x14ac:dyDescent="0.25">
      <c r="C43" t="s">
        <v>35</v>
      </c>
      <c r="D43">
        <v>4.9376276250971849E-19</v>
      </c>
      <c r="E43">
        <v>4.9805511693193908E-19</v>
      </c>
      <c r="F43">
        <v>4.5890816259859554E-19</v>
      </c>
      <c r="G43">
        <v>5.0321252055955793E-19</v>
      </c>
      <c r="H43">
        <v>4.8285919552913399E-19</v>
      </c>
      <c r="I43">
        <v>4.9222385823337743E-19</v>
      </c>
      <c r="J43">
        <v>5.1515042179397928E-19</v>
      </c>
      <c r="K43">
        <v>4.6054492412430367E-19</v>
      </c>
      <c r="L43">
        <v>4.0902097894069032E-19</v>
      </c>
      <c r="M43">
        <v>4.8439928839335285E-19</v>
      </c>
    </row>
    <row r="44" spans="1:13" x14ac:dyDescent="0.25">
      <c r="A44">
        <v>1</v>
      </c>
      <c r="B44">
        <f>$H$29</f>
        <v>1.7581578380727379E-20</v>
      </c>
      <c r="C44" s="1">
        <f>I22</f>
        <v>4.9376276250971849E-19</v>
      </c>
      <c r="D44">
        <f>($C44-D$43)/SQRT($B44^2+D$42^2)</f>
        <v>0</v>
      </c>
      <c r="E44">
        <f t="shared" ref="E44:M44" si="3">($C44-E$43)/SQRT($B44^2+E$42^2)</f>
        <v>-0.17263256196242996</v>
      </c>
      <c r="F44">
        <f t="shared" si="3"/>
        <v>1.4018038323405317</v>
      </c>
      <c r="G44">
        <f t="shared" si="3"/>
        <v>-0.38005620729355616</v>
      </c>
      <c r="H44">
        <f t="shared" si="3"/>
        <v>0.43852639303104807</v>
      </c>
      <c r="I44">
        <f t="shared" si="3"/>
        <v>3.4942691163140846E-2</v>
      </c>
      <c r="J44">
        <f t="shared" si="3"/>
        <v>-0.48563278727726167</v>
      </c>
      <c r="K44">
        <f t="shared" si="3"/>
        <v>0.75425137590002389</v>
      </c>
      <c r="L44">
        <f t="shared" si="3"/>
        <v>1.9241651461952389</v>
      </c>
      <c r="M44">
        <f t="shared" si="3"/>
        <v>0.21260905521697002</v>
      </c>
    </row>
    <row r="45" spans="1:13" x14ac:dyDescent="0.25">
      <c r="A45">
        <v>2</v>
      </c>
      <c r="B45">
        <f t="shared" ref="B45:B48" si="4">$H$29</f>
        <v>1.7581578380727379E-20</v>
      </c>
      <c r="C45" s="1">
        <f t="shared" ref="C45:C48" si="5">I23</f>
        <v>4.9805511693193908E-19</v>
      </c>
      <c r="D45">
        <f t="shared" ref="D45:M53" si="6">($C45-D$43)/SQRT($B45^2+D$42^2)</f>
        <v>0.17263256196242996</v>
      </c>
      <c r="E45">
        <f t="shared" si="6"/>
        <v>0</v>
      </c>
      <c r="F45">
        <f t="shared" si="6"/>
        <v>1.5744363943029616</v>
      </c>
      <c r="G45">
        <f t="shared" si="6"/>
        <v>-0.20742364533112617</v>
      </c>
      <c r="H45">
        <f t="shared" si="6"/>
        <v>0.61115895499347805</v>
      </c>
      <c r="I45">
        <f t="shared" si="6"/>
        <v>0.13240581297277498</v>
      </c>
      <c r="J45">
        <f t="shared" si="6"/>
        <v>-0.38816966546762754</v>
      </c>
      <c r="K45">
        <f t="shared" si="6"/>
        <v>0.85171449770965801</v>
      </c>
      <c r="L45">
        <f t="shared" si="6"/>
        <v>2.0216282680048732</v>
      </c>
      <c r="M45">
        <f t="shared" si="6"/>
        <v>0.31007217702660417</v>
      </c>
    </row>
    <row r="46" spans="1:13" x14ac:dyDescent="0.25">
      <c r="A46">
        <v>3</v>
      </c>
      <c r="B46">
        <f t="shared" si="4"/>
        <v>1.7581578380727379E-20</v>
      </c>
      <c r="C46" s="1">
        <f t="shared" si="5"/>
        <v>4.5890816259859554E-19</v>
      </c>
      <c r="D46">
        <f t="shared" si="6"/>
        <v>-1.4018038323405317</v>
      </c>
      <c r="E46">
        <f t="shared" si="6"/>
        <v>-1.5744363943029616</v>
      </c>
      <c r="F46">
        <f t="shared" si="6"/>
        <v>0</v>
      </c>
      <c r="G46">
        <f t="shared" si="6"/>
        <v>-1.7818600396340878</v>
      </c>
      <c r="H46">
        <f t="shared" si="6"/>
        <v>-0.96327743930948362</v>
      </c>
      <c r="I46">
        <f t="shared" si="6"/>
        <v>-0.75647334363075114</v>
      </c>
      <c r="J46">
        <f t="shared" si="6"/>
        <v>-1.2770488220711536</v>
      </c>
      <c r="K46">
        <f t="shared" si="6"/>
        <v>-3.7164658893868094E-2</v>
      </c>
      <c r="L46">
        <f t="shared" si="6"/>
        <v>1.132749111401347</v>
      </c>
      <c r="M46">
        <f t="shared" si="6"/>
        <v>-0.57880697957692195</v>
      </c>
    </row>
    <row r="47" spans="1:13" x14ac:dyDescent="0.25">
      <c r="A47">
        <v>4</v>
      </c>
      <c r="B47">
        <f t="shared" si="4"/>
        <v>1.7581578380727379E-20</v>
      </c>
      <c r="C47" s="1">
        <f t="shared" si="5"/>
        <v>5.0321252055955793E-19</v>
      </c>
      <c r="D47">
        <f t="shared" si="6"/>
        <v>0.38005620729355616</v>
      </c>
      <c r="E47">
        <f t="shared" si="6"/>
        <v>0.20742364533112617</v>
      </c>
      <c r="F47">
        <f t="shared" si="6"/>
        <v>1.7818600396340878</v>
      </c>
      <c r="G47">
        <f t="shared" si="6"/>
        <v>0</v>
      </c>
      <c r="H47">
        <f t="shared" si="6"/>
        <v>0.81858260032460428</v>
      </c>
      <c r="I47">
        <f t="shared" si="6"/>
        <v>0.24951092791340562</v>
      </c>
      <c r="J47">
        <f t="shared" si="6"/>
        <v>-0.27106455052699691</v>
      </c>
      <c r="K47">
        <f t="shared" si="6"/>
        <v>0.9688196126502886</v>
      </c>
      <c r="L47">
        <f t="shared" si="6"/>
        <v>2.1387333829455035</v>
      </c>
      <c r="M47">
        <f t="shared" si="6"/>
        <v>0.42717729196723481</v>
      </c>
    </row>
    <row r="48" spans="1:13" x14ac:dyDescent="0.25">
      <c r="A48">
        <v>5</v>
      </c>
      <c r="B48">
        <f t="shared" si="4"/>
        <v>1.7581578380727379E-20</v>
      </c>
      <c r="C48" s="1">
        <f t="shared" si="5"/>
        <v>4.8285919552913399E-19</v>
      </c>
      <c r="D48">
        <f t="shared" si="6"/>
        <v>-0.43852639303104807</v>
      </c>
      <c r="E48">
        <f t="shared" si="6"/>
        <v>-0.61115895499347805</v>
      </c>
      <c r="F48">
        <f t="shared" si="6"/>
        <v>0.96327743930948362</v>
      </c>
      <c r="G48">
        <f t="shared" si="6"/>
        <v>-0.81858260032460428</v>
      </c>
      <c r="H48">
        <f t="shared" si="6"/>
        <v>0</v>
      </c>
      <c r="I48">
        <f t="shared" si="6"/>
        <v>-0.2126360435487154</v>
      </c>
      <c r="J48">
        <f t="shared" si="6"/>
        <v>-0.73321152198911788</v>
      </c>
      <c r="K48">
        <f t="shared" si="6"/>
        <v>0.50667264118816768</v>
      </c>
      <c r="L48">
        <f t="shared" si="6"/>
        <v>1.6765864114833826</v>
      </c>
      <c r="M48">
        <f t="shared" si="6"/>
        <v>-3.4969679494886219E-2</v>
      </c>
    </row>
    <row r="49" spans="1:13" x14ac:dyDescent="0.25">
      <c r="A49">
        <v>6</v>
      </c>
      <c r="B49">
        <f>$L$29</f>
        <v>4.0379210974331624E-20</v>
      </c>
      <c r="C49" s="1">
        <f>M22</f>
        <v>4.9222385823337743E-19</v>
      </c>
      <c r="D49">
        <f t="shared" si="6"/>
        <v>-3.4942691163140846E-2</v>
      </c>
      <c r="E49">
        <f t="shared" si="6"/>
        <v>-0.13240581297277498</v>
      </c>
      <c r="F49">
        <f t="shared" si="6"/>
        <v>0.75647334363075114</v>
      </c>
      <c r="G49">
        <f t="shared" si="6"/>
        <v>-0.24951092791340562</v>
      </c>
      <c r="H49">
        <f t="shared" si="6"/>
        <v>0.2126360435487154</v>
      </c>
      <c r="I49">
        <f t="shared" si="6"/>
        <v>0</v>
      </c>
      <c r="J49">
        <f t="shared" si="6"/>
        <v>-0.40148205405279852</v>
      </c>
      <c r="K49">
        <f t="shared" si="6"/>
        <v>0.55475054090401688</v>
      </c>
      <c r="L49">
        <f t="shared" si="6"/>
        <v>1.4570200541933367</v>
      </c>
      <c r="M49">
        <f t="shared" si="6"/>
        <v>0.13702116163850336</v>
      </c>
    </row>
    <row r="50" spans="1:13" x14ac:dyDescent="0.25">
      <c r="A50">
        <v>7</v>
      </c>
      <c r="B50">
        <f t="shared" ref="B50:B53" si="7">$L$29</f>
        <v>4.0379210974331624E-20</v>
      </c>
      <c r="C50" s="1">
        <f t="shared" ref="C50:C53" si="8">M23</f>
        <v>5.1515042179397928E-19</v>
      </c>
      <c r="D50">
        <f t="shared" si="6"/>
        <v>0.48563278727726167</v>
      </c>
      <c r="E50">
        <f t="shared" si="6"/>
        <v>0.38816966546762754</v>
      </c>
      <c r="F50">
        <f t="shared" si="6"/>
        <v>1.2770488220711536</v>
      </c>
      <c r="G50">
        <f t="shared" si="6"/>
        <v>0.27106455052699691</v>
      </c>
      <c r="H50">
        <f t="shared" si="6"/>
        <v>0.73321152198911788</v>
      </c>
      <c r="I50">
        <f t="shared" si="6"/>
        <v>0.40148205405279852</v>
      </c>
      <c r="J50">
        <f t="shared" si="6"/>
        <v>0</v>
      </c>
      <c r="K50">
        <f t="shared" si="6"/>
        <v>0.95623259495681534</v>
      </c>
      <c r="L50">
        <f t="shared" si="6"/>
        <v>1.8585021082461353</v>
      </c>
      <c r="M50">
        <f t="shared" si="6"/>
        <v>0.53850321569130188</v>
      </c>
    </row>
    <row r="51" spans="1:13" x14ac:dyDescent="0.25">
      <c r="A51">
        <v>8</v>
      </c>
      <c r="B51">
        <f t="shared" si="7"/>
        <v>4.0379210974331624E-20</v>
      </c>
      <c r="C51" s="1">
        <f t="shared" si="8"/>
        <v>4.6054492412430367E-19</v>
      </c>
      <c r="D51">
        <f t="shared" si="6"/>
        <v>-0.75425137590002389</v>
      </c>
      <c r="E51">
        <f t="shared" si="6"/>
        <v>-0.85171449770965801</v>
      </c>
      <c r="F51">
        <f t="shared" si="6"/>
        <v>3.7164658893868094E-2</v>
      </c>
      <c r="G51">
        <f t="shared" si="6"/>
        <v>-0.9688196126502886</v>
      </c>
      <c r="H51">
        <f t="shared" si="6"/>
        <v>-0.50667264118816768</v>
      </c>
      <c r="I51">
        <f t="shared" si="6"/>
        <v>-0.55475054090401688</v>
      </c>
      <c r="J51">
        <f t="shared" si="6"/>
        <v>-0.95623259495681534</v>
      </c>
      <c r="K51">
        <f t="shared" si="6"/>
        <v>0</v>
      </c>
      <c r="L51">
        <f t="shared" si="6"/>
        <v>0.90226951328931981</v>
      </c>
      <c r="M51">
        <f t="shared" si="6"/>
        <v>-0.41772937926551346</v>
      </c>
    </row>
    <row r="52" spans="1:13" x14ac:dyDescent="0.25">
      <c r="A52">
        <v>9</v>
      </c>
      <c r="B52">
        <f t="shared" si="7"/>
        <v>4.0379210974331624E-20</v>
      </c>
      <c r="C52" s="1">
        <f t="shared" si="8"/>
        <v>4.0902097894069032E-19</v>
      </c>
      <c r="D52">
        <f t="shared" si="6"/>
        <v>-1.9241651461952389</v>
      </c>
      <c r="E52">
        <f t="shared" si="6"/>
        <v>-2.0216282680048732</v>
      </c>
      <c r="F52">
        <f t="shared" si="6"/>
        <v>-1.132749111401347</v>
      </c>
      <c r="G52">
        <f t="shared" si="6"/>
        <v>-2.1387333829455035</v>
      </c>
      <c r="H52">
        <f t="shared" si="6"/>
        <v>-1.6765864114833826</v>
      </c>
      <c r="I52">
        <f t="shared" si="6"/>
        <v>-1.4570200541933367</v>
      </c>
      <c r="J52">
        <f t="shared" si="6"/>
        <v>-1.8585021082461353</v>
      </c>
      <c r="K52">
        <f t="shared" si="6"/>
        <v>-0.90226951328931981</v>
      </c>
      <c r="L52">
        <f t="shared" si="6"/>
        <v>0</v>
      </c>
      <c r="M52">
        <f t="shared" si="6"/>
        <v>-1.3199988925548334</v>
      </c>
    </row>
    <row r="53" spans="1:13" x14ac:dyDescent="0.25">
      <c r="A53">
        <v>10</v>
      </c>
      <c r="B53">
        <f t="shared" si="7"/>
        <v>4.0379210974331624E-20</v>
      </c>
      <c r="C53" s="1">
        <f t="shared" si="8"/>
        <v>4.8439928839335285E-19</v>
      </c>
      <c r="D53">
        <f t="shared" si="6"/>
        <v>-0.21260905521697002</v>
      </c>
      <c r="E53">
        <f t="shared" si="6"/>
        <v>-0.31007217702660417</v>
      </c>
      <c r="F53">
        <f t="shared" si="6"/>
        <v>0.57880697957692195</v>
      </c>
      <c r="G53">
        <f t="shared" si="6"/>
        <v>-0.42717729196723481</v>
      </c>
      <c r="H53">
        <f t="shared" si="6"/>
        <v>3.4969679494886219E-2</v>
      </c>
      <c r="I53">
        <f t="shared" si="6"/>
        <v>-0.13702116163850336</v>
      </c>
      <c r="J53">
        <f t="shared" si="6"/>
        <v>-0.53850321569130188</v>
      </c>
      <c r="K53">
        <f t="shared" si="6"/>
        <v>0.41772937926551346</v>
      </c>
      <c r="L53">
        <f t="shared" si="6"/>
        <v>1.3199988925548334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5" priority="3" operator="greaterThan">
      <formula>1.96</formula>
    </cfRule>
  </conditionalFormatting>
  <conditionalFormatting sqref="D36:H39">
    <cfRule type="cellIs" dxfId="14" priority="2" operator="notBetween">
      <formula>-1.96</formula>
      <formula>1.96</formula>
    </cfRule>
  </conditionalFormatting>
  <conditionalFormatting sqref="D35:H35">
    <cfRule type="cellIs" dxfId="13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3" zoomScaleNormal="100" workbookViewId="0">
      <selection activeCell="D35" sqref="D35:H3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((G29+L29)/2)/B11</f>
        <v>1.7438244168971684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5" x14ac:dyDescent="0.25">
      <c r="A17" t="s">
        <v>23</v>
      </c>
      <c r="B17">
        <v>2.25</v>
      </c>
      <c r="D17" t="s">
        <v>1</v>
      </c>
      <c r="E17" s="2">
        <f>E16/(1+$B$10/($B$7*B29))</f>
        <v>1.553743386926219E-5</v>
      </c>
    </row>
    <row r="18" spans="1:15" x14ac:dyDescent="0.25">
      <c r="A18" t="s">
        <v>24</v>
      </c>
      <c r="B18">
        <v>20.5</v>
      </c>
      <c r="D18" t="s">
        <v>32</v>
      </c>
      <c r="E18" s="1">
        <f>B16/B5</f>
        <v>26917.900403768504</v>
      </c>
    </row>
    <row r="20" spans="1:15" x14ac:dyDescent="0.25">
      <c r="A20" t="s">
        <v>7</v>
      </c>
      <c r="B20">
        <v>1</v>
      </c>
    </row>
    <row r="21" spans="1:15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L21" t="s">
        <v>38</v>
      </c>
      <c r="M21" t="s">
        <v>20</v>
      </c>
      <c r="N21" t="s">
        <v>22</v>
      </c>
    </row>
    <row r="22" spans="1:15" x14ac:dyDescent="0.25">
      <c r="A22">
        <v>1</v>
      </c>
      <c r="B22">
        <v>20.36</v>
      </c>
      <c r="C22" s="1">
        <f>B12/B22</f>
        <v>2.4557956777996073E-5</v>
      </c>
      <c r="D22">
        <f>(($B$10/(2*$B$7))^2+9*E16*C22/(2*$B$6*($B$9-$B$8)))^(1/2)-$B$10/(2*$B$7)</f>
        <v>4.5077096714183955E-7</v>
      </c>
      <c r="E22" s="1">
        <f>(D22+$B$10/(2*$B$7))^(-1)*9*E16/(2*$B$6*($B$9-$B$8))*1/2*C28</f>
        <v>1.5541501551982885E-8</v>
      </c>
      <c r="F22" s="1"/>
      <c r="G22">
        <v>108.85</v>
      </c>
      <c r="H22" s="1">
        <f>$B$12/(G22-B26)</f>
        <v>3.2051282051282065E-5</v>
      </c>
      <c r="I22" s="1">
        <f>(4*PI()/3)*B29^3*($B$9-$B$8)*($B$6/E18)*(1+ABS(H22)/B28)</f>
        <v>2.8093516157089518E-19</v>
      </c>
      <c r="J22" s="1">
        <f>I22/$B$11</f>
        <v>1.7534593756017682</v>
      </c>
      <c r="L22">
        <v>177.85</v>
      </c>
      <c r="M22" s="1">
        <f>B12/(L22-G26)</f>
        <v>7.0224719101123547E-5</v>
      </c>
      <c r="N22" s="1">
        <f>-(4*PI()/3)*B29^3*($B$9-$B$8)*($B$6/$E$18)*(1-ABS(M22)/B28)</f>
        <v>2.0456146476549596E-19</v>
      </c>
      <c r="O22" s="1">
        <f>N22/$B$11</f>
        <v>1.2767722497754084</v>
      </c>
    </row>
    <row r="23" spans="1:15" x14ac:dyDescent="0.25">
      <c r="A23">
        <v>2</v>
      </c>
      <c r="B23">
        <v>40.54</v>
      </c>
      <c r="C23" s="1">
        <f>$B$12/(B23-B22)</f>
        <v>2.4777006937561945E-5</v>
      </c>
      <c r="D23">
        <f>(($B$10/(2*$B$7))^2+9*E16*C23/(2*$B$6*($B$9-$B$8)))^(1/2)-$B$10/(2*$B$7)</f>
        <v>4.5294214310574092E-7</v>
      </c>
      <c r="E23" s="1">
        <f>(D23+$B$10/(2*$B$7))^(-1)*9*E16/(2*$B$6*($B$9-$B$8))*1/2*C28</f>
        <v>1.5473112973783684E-8</v>
      </c>
      <c r="F23" s="1"/>
      <c r="G23">
        <v>124.19</v>
      </c>
      <c r="H23" s="1">
        <f>$B$12/(G23-G22)</f>
        <v>3.2594524119947841E-5</v>
      </c>
      <c r="I23" s="1">
        <f>(4*PI()/3)*B29^3*($B$9-$B$8)*($B$6/E18)*(1+ABS(H23)/B28)</f>
        <v>2.8351389156277497E-19</v>
      </c>
      <c r="J23" s="1">
        <f t="shared" ref="J23:J26" si="0">I23/$B$11</f>
        <v>1.7695545423873116</v>
      </c>
      <c r="L23">
        <v>183.46</v>
      </c>
      <c r="M23" s="1">
        <f>$B$12/(L23-L22)</f>
        <v>8.912655971479479E-5</v>
      </c>
      <c r="N23" s="1">
        <f>-(4*PI()/3)*B29^3*($B$9-$B$8)*($B$6/$E$18)*(1-ABS(M23)/B28)</f>
        <v>2.9428710661779012E-19</v>
      </c>
      <c r="O23" s="1">
        <f t="shared" ref="O23:O26" si="1">N23/$B$11</f>
        <v>1.8367956625018664</v>
      </c>
    </row>
    <row r="24" spans="1:15" x14ac:dyDescent="0.25">
      <c r="A24">
        <v>3</v>
      </c>
      <c r="B24">
        <v>60</v>
      </c>
      <c r="C24" s="1">
        <f t="shared" ref="C24:C26" si="2">$B$12/(B24-B23)</f>
        <v>2.5693730729701953E-5</v>
      </c>
      <c r="D24">
        <f>(($B$10/(2*$B$7))^2+9*E16*C24/(2*$B$6*($B$9-$B$8)))^(1/2)-$B$10/(2*$B$7)</f>
        <v>4.6192671037509545E-7</v>
      </c>
      <c r="E24" s="1">
        <f>(D24+$B$10/(2*$B$7))^(-1)*9*E16/(2*$B$6*($B$9-$B$8))*1/2*C28</f>
        <v>1.5196397537119202E-8</v>
      </c>
      <c r="F24" s="1"/>
      <c r="G24">
        <v>139.16999999999999</v>
      </c>
      <c r="H24" s="1">
        <f>$B$12/(G24-G23)</f>
        <v>3.3377837116154894E-5</v>
      </c>
      <c r="I24" s="1">
        <f>(4*PI()/3)*B29^3*($B$9-$B$8)*($B$6/E18)*(1+ABS(H24)/B28)</f>
        <v>2.8723222052302903E-19</v>
      </c>
      <c r="J24" s="1">
        <f t="shared" si="0"/>
        <v>1.7927625265373615</v>
      </c>
      <c r="L24">
        <v>188.85</v>
      </c>
      <c r="M24" s="1">
        <f>$B$12/(L24-L23)</f>
        <v>9.2764378478664433E-5</v>
      </c>
      <c r="N24" s="1">
        <f>-(4*PI()/3)*B29^3*($B$9-$B$8)*($B$6/E18)*(1-ABS(M24)/B28)</f>
        <v>3.1155556370627292E-19</v>
      </c>
      <c r="O24" s="1">
        <f t="shared" si="1"/>
        <v>1.9445768950633726</v>
      </c>
    </row>
    <row r="25" spans="1:15" x14ac:dyDescent="0.25">
      <c r="A25">
        <v>4</v>
      </c>
      <c r="B25">
        <v>78.099999999999994</v>
      </c>
      <c r="C25" s="1">
        <f t="shared" si="2"/>
        <v>2.7624309392265204E-5</v>
      </c>
      <c r="D25">
        <f>(($B$10/(2*$B$7))^2+9*E16*C25/(2*$B$6*($B$9-$B$8)))^(1/2)-$B$10/(2*$B$7)</f>
        <v>4.803411345157012E-7</v>
      </c>
      <c r="E25" s="1">
        <f>(D25+$B$10/(2*$B$7))^(-1)*9*E16/(2*$B$6*($B$9-$B$8))*1/2*C28</f>
        <v>1.4659089109083536E-8</v>
      </c>
      <c r="F25" s="1"/>
      <c r="G25">
        <v>155.01</v>
      </c>
      <c r="H25" s="1">
        <f>$B$12/(G25-G24)</f>
        <v>3.1565656565656559E-5</v>
      </c>
      <c r="I25" s="1">
        <f>(4*PI()/3)*B29^3*($B$9-$B$8)*($B$6/E18)*(1+ABS(H25)/B28)</f>
        <v>2.7862993324482065E-19</v>
      </c>
      <c r="J25" s="1">
        <f t="shared" si="0"/>
        <v>1.7390712719601453</v>
      </c>
      <c r="L25">
        <v>194.44</v>
      </c>
      <c r="M25" s="1">
        <f t="shared" ref="M25:M26" si="3">$B$12/(L25-L24)</f>
        <v>8.9445438282647528E-5</v>
      </c>
      <c r="N25" s="1">
        <f>-(4*PI()/3)*B29^3*($B$9-$B$8)*($B$6/E18)*(1-ABS(M25)/B28)</f>
        <v>2.9580079963628026E-19</v>
      </c>
      <c r="O25" s="1">
        <f t="shared" si="1"/>
        <v>1.8462433912952758</v>
      </c>
    </row>
    <row r="26" spans="1:15" x14ac:dyDescent="0.25">
      <c r="A26">
        <v>5</v>
      </c>
      <c r="B26">
        <v>93.25</v>
      </c>
      <c r="C26" s="1">
        <f t="shared" si="2"/>
        <v>3.3003300330032994E-5</v>
      </c>
      <c r="E26" s="1">
        <f>(D26+$B$10/(2*$B$7))^(-1)*9*E16/(2*$B$6*($B$9-$B$8))*1/2*C28</f>
        <v>1.8867522471675336E-7</v>
      </c>
      <c r="F26" s="1"/>
      <c r="G26">
        <v>170.73</v>
      </c>
      <c r="H26" s="1">
        <f>$B$12/(G26-G25)</f>
        <v>3.1806615776081425E-5</v>
      </c>
      <c r="I26" s="1">
        <f>(4*PI()/3)*B29^3*($B$9-$B$8)*($B$6/E18)*(1+ABS(H26)/B28)</f>
        <v>2.7977374882646064E-19</v>
      </c>
      <c r="J26" s="1">
        <f t="shared" si="0"/>
        <v>1.7462104073548435</v>
      </c>
      <c r="L26">
        <v>200.28</v>
      </c>
      <c r="M26" s="1">
        <f t="shared" si="3"/>
        <v>8.561643835616433E-5</v>
      </c>
      <c r="N26" s="1">
        <f>-(4*PI()/3)*B29^3*($B$9-$B$8)*($B$6/E18)*(1-ABS(M26)/B28)</f>
        <v>2.7762481968395731E-19</v>
      </c>
      <c r="O26" s="1">
        <f t="shared" si="1"/>
        <v>1.7327978464943352</v>
      </c>
    </row>
    <row r="27" spans="1:15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L27" s="1" t="s">
        <v>28</v>
      </c>
      <c r="M27" s="1" t="s">
        <v>29</v>
      </c>
      <c r="N27" t="s">
        <v>34</v>
      </c>
    </row>
    <row r="28" spans="1:15" x14ac:dyDescent="0.25">
      <c r="A28" t="s">
        <v>27</v>
      </c>
      <c r="B28" s="1">
        <f>AVERAGE(C22:C26)</f>
        <v>2.7131260833511634E-5</v>
      </c>
      <c r="C28" s="1">
        <f>_xlfn.STDEV.S(C22:C26)/SQRT(COUNT(C22:C26))</f>
        <v>1.5645261694532628E-6</v>
      </c>
      <c r="F28" t="str">
        <f>K28</f>
        <v>Velocità</v>
      </c>
      <c r="G28" s="1">
        <f>AVERAGE(H22:H26)</f>
        <v>3.227918312582455E-5</v>
      </c>
      <c r="H28" s="1">
        <f>_xlfn.STDEV.S(H22:H26)</f>
        <v>7.229902290020039E-7</v>
      </c>
      <c r="I28" s="2">
        <f>H28/SQRT(5)</f>
        <v>3.2333105982332413E-7</v>
      </c>
      <c r="J28" s="2"/>
      <c r="K28" t="s">
        <v>27</v>
      </c>
      <c r="L28" s="1">
        <f>AVERAGE(M22:M26)</f>
        <v>8.5435506786678918E-5</v>
      </c>
      <c r="M28" s="1">
        <f>_xlfn.STDEV.S(M22:M26)</f>
        <v>8.871535673799377E-6</v>
      </c>
      <c r="N28" s="2">
        <f>M28/SQRT(5)</f>
        <v>3.9674713662859611E-6</v>
      </c>
    </row>
    <row r="29" spans="1:15" x14ac:dyDescent="0.25">
      <c r="A29" t="s">
        <v>5</v>
      </c>
      <c r="B29">
        <f>AVERAGE(D22:D26)</f>
        <v>4.6149523878459426E-7</v>
      </c>
      <c r="C29">
        <f>_xlfn.STDEV.S(D22:D26)/SQRT(COUNT(D22:D26))</f>
        <v>6.7300284892931972E-9</v>
      </c>
      <c r="D29" s="1">
        <f>(B29+$B$10/(2*$B$7))^(-1)*9*E16/(2*$B$6*($B$9-$B$8))*1/2*C28</f>
        <v>1.5209459983661808E-8</v>
      </c>
      <c r="F29" t="str">
        <f>K29</f>
        <v>Carica</v>
      </c>
      <c r="G29">
        <f>AVERAGE(I22:I26)</f>
        <v>2.8201699114559607E-19</v>
      </c>
      <c r="H29">
        <f>_xlfn.STDEV.S(I22:I26)</f>
        <v>3.4319812380188287E-21</v>
      </c>
      <c r="I29" s="2">
        <f>H29/SQRT(5)</f>
        <v>1.5348286691427973E-21</v>
      </c>
      <c r="J29" s="2"/>
      <c r="K29" t="s">
        <v>33</v>
      </c>
      <c r="L29">
        <f>AVERAGE(N22:N26)</f>
        <v>2.7676595088195927E-19</v>
      </c>
      <c r="M29">
        <f>_xlfn.STDEV.S(N22:N26)</f>
        <v>4.2112524849640491E-20</v>
      </c>
      <c r="N29" s="2">
        <f>M29/SQRT(5)</f>
        <v>1.883329365358905E-20</v>
      </c>
    </row>
    <row r="32" spans="1:15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1.5541501551982885E-8</v>
      </c>
      <c r="E33">
        <v>1.5473112973783684E-8</v>
      </c>
      <c r="F33">
        <v>1.5196397537119202E-8</v>
      </c>
      <c r="G33">
        <v>1.4659089109083536E-8</v>
      </c>
      <c r="H33">
        <v>1.8867522471675336E-7</v>
      </c>
    </row>
    <row r="34" spans="1:13" x14ac:dyDescent="0.25">
      <c r="C34" t="s">
        <v>21</v>
      </c>
      <c r="D34">
        <v>4.5077096714183955E-7</v>
      </c>
      <c r="E34">
        <v>4.5294214310574092E-7</v>
      </c>
      <c r="F34">
        <v>4.6192671037509545E-7</v>
      </c>
      <c r="G34">
        <v>4.803411345157012E-7</v>
      </c>
      <c r="H34">
        <v>0</v>
      </c>
    </row>
    <row r="35" spans="1:13" x14ac:dyDescent="0.25">
      <c r="A35">
        <v>1</v>
      </c>
      <c r="B35" s="1">
        <f>E22</f>
        <v>1.5541501551982885E-8</v>
      </c>
      <c r="C35">
        <f>D22</f>
        <v>4.5077096714183955E-7</v>
      </c>
      <c r="D35">
        <f t="shared" ref="D35:H39" si="4">($C35-D$34)/SQRT($B35^2+D$33^2)</f>
        <v>0</v>
      </c>
      <c r="E35">
        <f t="shared" si="4"/>
        <v>-9.9001682809535058E-2</v>
      </c>
      <c r="F35">
        <f t="shared" si="4"/>
        <v>-0.51322990834482018</v>
      </c>
      <c r="G35">
        <f t="shared" si="4"/>
        <v>-1.3841018243792931</v>
      </c>
      <c r="H35">
        <f t="shared" si="4"/>
        <v>2.3810727845351756</v>
      </c>
    </row>
    <row r="36" spans="1:13" x14ac:dyDescent="0.25">
      <c r="A36">
        <v>2</v>
      </c>
      <c r="B36">
        <f>E23</f>
        <v>1.5473112973783684E-8</v>
      </c>
      <c r="C36">
        <f>D23</f>
        <v>4.5294214310574092E-7</v>
      </c>
      <c r="D36">
        <f t="shared" si="4"/>
        <v>9.9001682809535058E-2</v>
      </c>
      <c r="E36">
        <f t="shared" si="4"/>
        <v>0</v>
      </c>
      <c r="F36">
        <f t="shared" si="4"/>
        <v>-0.41427396564206564</v>
      </c>
      <c r="G36">
        <f t="shared" si="4"/>
        <v>-1.2854650794750326</v>
      </c>
      <c r="H36">
        <f t="shared" si="4"/>
        <v>2.3926122200409763</v>
      </c>
    </row>
    <row r="37" spans="1:13" x14ac:dyDescent="0.25">
      <c r="A37">
        <v>3</v>
      </c>
      <c r="B37">
        <f>E24</f>
        <v>1.5196397537119202E-8</v>
      </c>
      <c r="C37">
        <f>D24</f>
        <v>4.6192671037509545E-7</v>
      </c>
      <c r="D37">
        <f t="shared" si="4"/>
        <v>0.51322990834482018</v>
      </c>
      <c r="E37">
        <f t="shared" si="4"/>
        <v>0.41427396564206564</v>
      </c>
      <c r="F37">
        <f t="shared" si="4"/>
        <v>0</v>
      </c>
      <c r="G37">
        <f t="shared" si="4"/>
        <v>-0.87212485669568685</v>
      </c>
      <c r="H37">
        <f t="shared" si="4"/>
        <v>2.4403610802252338</v>
      </c>
    </row>
    <row r="38" spans="1:13" x14ac:dyDescent="0.25">
      <c r="A38">
        <v>4</v>
      </c>
      <c r="B38">
        <f>E25</f>
        <v>1.4659089109083536E-8</v>
      </c>
      <c r="C38">
        <f>D25</f>
        <v>4.803411345157012E-7</v>
      </c>
      <c r="D38">
        <f t="shared" si="4"/>
        <v>1.3841018243792931</v>
      </c>
      <c r="E38">
        <f t="shared" si="4"/>
        <v>1.2854650794750326</v>
      </c>
      <c r="F38">
        <f t="shared" si="4"/>
        <v>0.87212485669568685</v>
      </c>
      <c r="G38">
        <f t="shared" si="4"/>
        <v>0</v>
      </c>
      <c r="H38">
        <f t="shared" si="4"/>
        <v>2.5382128457385389</v>
      </c>
    </row>
    <row r="39" spans="1:13" x14ac:dyDescent="0.25">
      <c r="A39">
        <v>5</v>
      </c>
      <c r="B39">
        <f>E26</f>
        <v>1.8867522471675336E-7</v>
      </c>
      <c r="C39">
        <f>D26</f>
        <v>0</v>
      </c>
      <c r="D39">
        <f t="shared" si="4"/>
        <v>-2.3810727845351756</v>
      </c>
      <c r="E39">
        <f t="shared" si="4"/>
        <v>-2.3926122200409763</v>
      </c>
      <c r="F39">
        <f t="shared" si="4"/>
        <v>-2.4403610802252338</v>
      </c>
      <c r="G39">
        <f t="shared" si="4"/>
        <v>-2.5382128457385389</v>
      </c>
      <c r="H39">
        <f t="shared" si="4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3.4319812380188287E-21</v>
      </c>
      <c r="E42">
        <v>3.4319812380188287E-21</v>
      </c>
      <c r="F42">
        <v>3.4319812380188287E-21</v>
      </c>
      <c r="G42">
        <v>3.4319812380188287E-21</v>
      </c>
      <c r="H42">
        <v>3.4319812380188287E-21</v>
      </c>
      <c r="I42">
        <v>4.2112524849640491E-20</v>
      </c>
      <c r="J42">
        <v>4.2112524849640491E-20</v>
      </c>
      <c r="K42">
        <v>4.2112524849640491E-20</v>
      </c>
      <c r="L42">
        <v>4.2112524849640491E-20</v>
      </c>
      <c r="M42">
        <v>4.2112524849640491E-20</v>
      </c>
    </row>
    <row r="43" spans="1:13" x14ac:dyDescent="0.25">
      <c r="C43" t="s">
        <v>35</v>
      </c>
      <c r="D43">
        <v>2.8093516157089518E-19</v>
      </c>
      <c r="E43">
        <v>2.8351389156277497E-19</v>
      </c>
      <c r="F43">
        <v>2.8723222052302903E-19</v>
      </c>
      <c r="G43">
        <v>2.7862993324482065E-19</v>
      </c>
      <c r="H43">
        <v>2.7977374882646064E-19</v>
      </c>
      <c r="I43">
        <v>2.0456146476549596E-19</v>
      </c>
      <c r="J43">
        <v>2.9428710661779012E-19</v>
      </c>
      <c r="K43">
        <v>3.1155556370627292E-19</v>
      </c>
      <c r="L43">
        <v>2.9580079963628026E-19</v>
      </c>
      <c r="M43">
        <v>2.7762481968395731E-19</v>
      </c>
    </row>
    <row r="44" spans="1:13" x14ac:dyDescent="0.25">
      <c r="A44">
        <v>1</v>
      </c>
      <c r="B44">
        <f>$H$29</f>
        <v>3.4319812380188287E-21</v>
      </c>
      <c r="C44" s="1">
        <f>I22</f>
        <v>2.8093516157089518E-19</v>
      </c>
      <c r="D44">
        <f>($C44-D$43)/SQRT($B44^2+D$42^2)</f>
        <v>0</v>
      </c>
      <c r="E44">
        <f t="shared" ref="E44:M44" si="5">($C44-E$43)/SQRT($B44^2+E$42^2)</f>
        <v>-0.53130752694905314</v>
      </c>
      <c r="F44">
        <f t="shared" si="5"/>
        <v>-1.2974118381706836</v>
      </c>
      <c r="G44">
        <f t="shared" si="5"/>
        <v>0.47495672863630811</v>
      </c>
      <c r="H44">
        <f t="shared" si="5"/>
        <v>0.2392911762595227</v>
      </c>
      <c r="I44">
        <f t="shared" si="5"/>
        <v>1.8075699534681686</v>
      </c>
      <c r="J44">
        <f t="shared" si="5"/>
        <v>-0.31600636994986009</v>
      </c>
      <c r="K44">
        <f t="shared" si="5"/>
        <v>-0.72470655707618592</v>
      </c>
      <c r="L44">
        <f t="shared" si="5"/>
        <v>-0.3518316099663143</v>
      </c>
      <c r="M44">
        <f t="shared" si="5"/>
        <v>7.8347320881722707E-2</v>
      </c>
    </row>
    <row r="45" spans="1:13" x14ac:dyDescent="0.25">
      <c r="A45">
        <v>2</v>
      </c>
      <c r="B45">
        <f t="shared" ref="B45:B48" si="6">$H$29</f>
        <v>3.4319812380188287E-21</v>
      </c>
      <c r="C45" s="1">
        <f t="shared" ref="C45:C48" si="7">I23</f>
        <v>2.8351389156277497E-19</v>
      </c>
      <c r="D45">
        <f t="shared" ref="D45:M53" si="8">($C45-D$43)/SQRT($B45^2+D$42^2)</f>
        <v>0.53130752694905314</v>
      </c>
      <c r="E45">
        <f t="shared" si="8"/>
        <v>0</v>
      </c>
      <c r="F45">
        <f t="shared" si="8"/>
        <v>-0.76610431122163047</v>
      </c>
      <c r="G45">
        <f t="shared" si="8"/>
        <v>1.0062642555853611</v>
      </c>
      <c r="H45">
        <f t="shared" si="8"/>
        <v>0.77059870320857582</v>
      </c>
      <c r="I45">
        <f t="shared" si="8"/>
        <v>1.8686018930809123</v>
      </c>
      <c r="J45">
        <f t="shared" si="8"/>
        <v>-0.25497443033711625</v>
      </c>
      <c r="K45">
        <f t="shared" si="8"/>
        <v>-0.66367461746344203</v>
      </c>
      <c r="L45">
        <f t="shared" si="8"/>
        <v>-0.29079967035357046</v>
      </c>
      <c r="M45">
        <f t="shared" si="8"/>
        <v>0.13937926049446653</v>
      </c>
    </row>
    <row r="46" spans="1:13" x14ac:dyDescent="0.25">
      <c r="A46">
        <v>3</v>
      </c>
      <c r="B46">
        <f t="shared" si="6"/>
        <v>3.4319812380188287E-21</v>
      </c>
      <c r="C46" s="1">
        <f t="shared" si="7"/>
        <v>2.8723222052302903E-19</v>
      </c>
      <c r="D46">
        <f t="shared" si="8"/>
        <v>1.2974118381706836</v>
      </c>
      <c r="E46">
        <f t="shared" si="8"/>
        <v>0.76610431122163047</v>
      </c>
      <c r="F46">
        <f t="shared" si="8"/>
        <v>0</v>
      </c>
      <c r="G46">
        <f t="shared" si="8"/>
        <v>1.7723685668069917</v>
      </c>
      <c r="H46">
        <f t="shared" si="8"/>
        <v>1.5367030144302063</v>
      </c>
      <c r="I46">
        <f t="shared" si="8"/>
        <v>1.9566052238976894</v>
      </c>
      <c r="J46">
        <f t="shared" si="8"/>
        <v>-0.16697109952033909</v>
      </c>
      <c r="K46">
        <f t="shared" si="8"/>
        <v>-0.57567128664666489</v>
      </c>
      <c r="L46">
        <f t="shared" si="8"/>
        <v>-0.20279633953679332</v>
      </c>
      <c r="M46">
        <f t="shared" si="8"/>
        <v>0.22738259131124366</v>
      </c>
    </row>
    <row r="47" spans="1:13" x14ac:dyDescent="0.25">
      <c r="A47">
        <v>4</v>
      </c>
      <c r="B47">
        <f t="shared" si="6"/>
        <v>3.4319812380188287E-21</v>
      </c>
      <c r="C47" s="1">
        <f t="shared" si="7"/>
        <v>2.7862993324482065E-19</v>
      </c>
      <c r="D47">
        <f t="shared" si="8"/>
        <v>-0.47495672863630811</v>
      </c>
      <c r="E47">
        <f t="shared" si="8"/>
        <v>-1.0062642555853611</v>
      </c>
      <c r="F47">
        <f t="shared" si="8"/>
        <v>-1.7723685668069917</v>
      </c>
      <c r="G47">
        <f t="shared" si="8"/>
        <v>0</v>
      </c>
      <c r="H47">
        <f t="shared" si="8"/>
        <v>-0.23566555237678538</v>
      </c>
      <c r="I47">
        <f t="shared" si="8"/>
        <v>1.7530110983598028</v>
      </c>
      <c r="J47">
        <f t="shared" si="8"/>
        <v>-0.37056522505822581</v>
      </c>
      <c r="K47">
        <f t="shared" si="8"/>
        <v>-0.77926541218455159</v>
      </c>
      <c r="L47">
        <f t="shared" si="8"/>
        <v>-0.40639046507468002</v>
      </c>
      <c r="M47">
        <f t="shared" si="8"/>
        <v>2.3788465773356967E-2</v>
      </c>
    </row>
    <row r="48" spans="1:13" x14ac:dyDescent="0.25">
      <c r="A48">
        <v>5</v>
      </c>
      <c r="B48">
        <f t="shared" si="6"/>
        <v>3.4319812380188287E-21</v>
      </c>
      <c r="C48" s="1">
        <f t="shared" si="7"/>
        <v>2.7977374882646064E-19</v>
      </c>
      <c r="D48">
        <f t="shared" si="8"/>
        <v>-0.2392911762595227</v>
      </c>
      <c r="E48">
        <f t="shared" si="8"/>
        <v>-0.77059870320857582</v>
      </c>
      <c r="F48">
        <f t="shared" si="8"/>
        <v>-1.5367030144302063</v>
      </c>
      <c r="G48">
        <f t="shared" si="8"/>
        <v>0.23566555237678538</v>
      </c>
      <c r="H48">
        <f t="shared" si="8"/>
        <v>0</v>
      </c>
      <c r="I48">
        <f t="shared" si="8"/>
        <v>1.7800822860089909</v>
      </c>
      <c r="J48">
        <f t="shared" si="8"/>
        <v>-0.34349403740903772</v>
      </c>
      <c r="K48">
        <f t="shared" si="8"/>
        <v>-0.75219422453536355</v>
      </c>
      <c r="L48">
        <f t="shared" si="8"/>
        <v>-0.37931927742549193</v>
      </c>
      <c r="M48">
        <f t="shared" si="8"/>
        <v>5.0859653422545073E-2</v>
      </c>
    </row>
    <row r="49" spans="1:13" x14ac:dyDescent="0.25">
      <c r="A49">
        <v>6</v>
      </c>
      <c r="B49">
        <f>$M$29</f>
        <v>4.2112524849640491E-20</v>
      </c>
      <c r="C49" s="1">
        <f>N22</f>
        <v>2.0456146476549596E-19</v>
      </c>
      <c r="D49">
        <f t="shared" si="8"/>
        <v>-1.8075699534681686</v>
      </c>
      <c r="E49">
        <f t="shared" si="8"/>
        <v>-1.8686018930809123</v>
      </c>
      <c r="F49">
        <f t="shared" si="8"/>
        <v>-1.9566052238976894</v>
      </c>
      <c r="G49">
        <f t="shared" si="8"/>
        <v>-1.7530110983598028</v>
      </c>
      <c r="H49">
        <f t="shared" si="8"/>
        <v>-1.7800822860089909</v>
      </c>
      <c r="I49">
        <f t="shared" si="8"/>
        <v>0</v>
      </c>
      <c r="J49">
        <f t="shared" si="8"/>
        <v>-1.5065734013004524</v>
      </c>
      <c r="K49">
        <f t="shared" si="8"/>
        <v>-1.7965261683571001</v>
      </c>
      <c r="L49">
        <f t="shared" si="8"/>
        <v>-1.5319896545844978</v>
      </c>
      <c r="M49">
        <f t="shared" si="8"/>
        <v>-1.2267987707586845</v>
      </c>
    </row>
    <row r="50" spans="1:13" x14ac:dyDescent="0.25">
      <c r="A50">
        <v>7</v>
      </c>
      <c r="B50">
        <f t="shared" ref="B50:B53" si="9">$M$29</f>
        <v>4.2112524849640491E-20</v>
      </c>
      <c r="C50" s="1">
        <f t="shared" ref="C50:C53" si="10">N23</f>
        <v>2.9428710661779012E-19</v>
      </c>
      <c r="D50">
        <f t="shared" si="8"/>
        <v>0.31600636994986009</v>
      </c>
      <c r="E50">
        <f t="shared" si="8"/>
        <v>0.25497443033711625</v>
      </c>
      <c r="F50">
        <f t="shared" si="8"/>
        <v>0.16697109952033909</v>
      </c>
      <c r="G50">
        <f t="shared" si="8"/>
        <v>0.37056522505822581</v>
      </c>
      <c r="H50">
        <f t="shared" si="8"/>
        <v>0.34349403740903772</v>
      </c>
      <c r="I50">
        <f t="shared" si="8"/>
        <v>1.5065734013004524</v>
      </c>
      <c r="J50">
        <f t="shared" si="8"/>
        <v>0</v>
      </c>
      <c r="K50">
        <f t="shared" si="8"/>
        <v>-0.28995276705664774</v>
      </c>
      <c r="L50">
        <f t="shared" si="8"/>
        <v>-2.5416253284045391E-2</v>
      </c>
      <c r="M50">
        <f t="shared" si="8"/>
        <v>0.27977463054176788</v>
      </c>
    </row>
    <row r="51" spans="1:13" x14ac:dyDescent="0.25">
      <c r="A51">
        <v>8</v>
      </c>
      <c r="B51">
        <f t="shared" si="9"/>
        <v>4.2112524849640491E-20</v>
      </c>
      <c r="C51" s="1">
        <f t="shared" si="10"/>
        <v>3.1155556370627292E-19</v>
      </c>
      <c r="D51">
        <f t="shared" si="8"/>
        <v>0.72470655707618592</v>
      </c>
      <c r="E51">
        <f t="shared" si="8"/>
        <v>0.66367461746344203</v>
      </c>
      <c r="F51">
        <f t="shared" si="8"/>
        <v>0.57567128664666489</v>
      </c>
      <c r="G51">
        <f t="shared" si="8"/>
        <v>0.77926541218455159</v>
      </c>
      <c r="H51">
        <f t="shared" si="8"/>
        <v>0.75219422453536355</v>
      </c>
      <c r="I51">
        <f t="shared" si="8"/>
        <v>1.7965261683571001</v>
      </c>
      <c r="J51">
        <f t="shared" si="8"/>
        <v>0.28995276705664774</v>
      </c>
      <c r="K51">
        <f t="shared" si="8"/>
        <v>0</v>
      </c>
      <c r="L51">
        <f t="shared" si="8"/>
        <v>0.26453651377260234</v>
      </c>
      <c r="M51">
        <f t="shared" si="8"/>
        <v>0.56972739759841562</v>
      </c>
    </row>
    <row r="52" spans="1:13" x14ac:dyDescent="0.25">
      <c r="A52">
        <v>9</v>
      </c>
      <c r="B52">
        <f t="shared" si="9"/>
        <v>4.2112524849640491E-20</v>
      </c>
      <c r="C52" s="1">
        <f t="shared" si="10"/>
        <v>2.9580079963628026E-19</v>
      </c>
      <c r="D52">
        <f t="shared" si="8"/>
        <v>0.3518316099663143</v>
      </c>
      <c r="E52">
        <f t="shared" si="8"/>
        <v>0.29079967035357046</v>
      </c>
      <c r="F52">
        <f t="shared" si="8"/>
        <v>0.20279633953679332</v>
      </c>
      <c r="G52">
        <f t="shared" si="8"/>
        <v>0.40639046507468002</v>
      </c>
      <c r="H52">
        <f t="shared" si="8"/>
        <v>0.37931927742549193</v>
      </c>
      <c r="I52">
        <f t="shared" si="8"/>
        <v>1.5319896545844978</v>
      </c>
      <c r="J52">
        <f t="shared" si="8"/>
        <v>2.5416253284045391E-2</v>
      </c>
      <c r="K52">
        <f t="shared" si="8"/>
        <v>-0.26453651377260234</v>
      </c>
      <c r="L52">
        <f t="shared" si="8"/>
        <v>0</v>
      </c>
      <c r="M52">
        <f t="shared" si="8"/>
        <v>0.30519088382581328</v>
      </c>
    </row>
    <row r="53" spans="1:13" x14ac:dyDescent="0.25">
      <c r="A53">
        <v>10</v>
      </c>
      <c r="B53">
        <f t="shared" si="9"/>
        <v>4.2112524849640491E-20</v>
      </c>
      <c r="C53" s="1">
        <f t="shared" si="10"/>
        <v>2.7762481968395731E-19</v>
      </c>
      <c r="D53">
        <f t="shared" si="8"/>
        <v>-7.8347320881722707E-2</v>
      </c>
      <c r="E53">
        <f t="shared" si="8"/>
        <v>-0.13937926049446653</v>
      </c>
      <c r="F53">
        <f t="shared" si="8"/>
        <v>-0.22738259131124366</v>
      </c>
      <c r="G53">
        <f t="shared" si="8"/>
        <v>-2.3788465773356967E-2</v>
      </c>
      <c r="H53">
        <f t="shared" si="8"/>
        <v>-5.0859653422545073E-2</v>
      </c>
      <c r="I53">
        <f t="shared" si="8"/>
        <v>1.2267987707586845</v>
      </c>
      <c r="J53">
        <f t="shared" si="8"/>
        <v>-0.27977463054176788</v>
      </c>
      <c r="K53">
        <f t="shared" si="8"/>
        <v>-0.56972739759841562</v>
      </c>
      <c r="L53">
        <f t="shared" si="8"/>
        <v>-0.30519088382581328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12" priority="3" operator="greaterThan">
      <formula>1.96</formula>
    </cfRule>
  </conditionalFormatting>
  <conditionalFormatting sqref="D36:H39">
    <cfRule type="cellIs" dxfId="11" priority="2" operator="notBetween">
      <formula>-1.96</formula>
      <formula>1.96</formula>
    </cfRule>
  </conditionalFormatting>
  <conditionalFormatting sqref="D35:H35">
    <cfRule type="cellIs" dxfId="10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5" zoomScaleNormal="100" workbookViewId="0">
      <selection activeCell="D35" sqref="D35:H3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8.5796594551466576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1.8285900000000001E-5</v>
      </c>
    </row>
    <row r="17" spans="1:17" x14ac:dyDescent="0.25">
      <c r="A17" t="s">
        <v>23</v>
      </c>
      <c r="B17">
        <v>2.25</v>
      </c>
      <c r="D17" t="s">
        <v>1</v>
      </c>
      <c r="E17" s="2">
        <f>E16/(1+$B$10/($B$7*B29))</f>
        <v>1.5868716072612828E-5</v>
      </c>
    </row>
    <row r="18" spans="1:17" x14ac:dyDescent="0.25">
      <c r="A18" t="s">
        <v>24</v>
      </c>
      <c r="B18">
        <v>21</v>
      </c>
      <c r="D18" t="s">
        <v>32</v>
      </c>
      <c r="E18" s="1">
        <f>B16/B5</f>
        <v>26917.900403768504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1.9945779163191361E-4</v>
      </c>
      <c r="I19">
        <f>_xlfn.STDEV.S(H22:H26)</f>
        <v>9.8813657918206318E-6</v>
      </c>
      <c r="J19" s="1">
        <f>H19-2*I19</f>
        <v>1.7969506004827235E-4</v>
      </c>
      <c r="K19" s="1">
        <f>H19+2*I19</f>
        <v>2.1922052321555487E-4</v>
      </c>
      <c r="M19" t="s">
        <v>44</v>
      </c>
      <c r="N19" s="1">
        <f>AVERAGE(L22:L26)</f>
        <v>2.6728325934240258E-4</v>
      </c>
      <c r="O19">
        <f>_xlfn.STDEV.S(L22:L26)</f>
        <v>2.8919362854594826E-5</v>
      </c>
      <c r="P19" s="1">
        <f>N19-2*O19</f>
        <v>2.0944453363321293E-4</v>
      </c>
      <c r="Q19" s="1">
        <f>N19+2*O19</f>
        <v>3.2512198505159221E-4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7" x14ac:dyDescent="0.25">
      <c r="A22">
        <v>1</v>
      </c>
      <c r="B22">
        <v>16.434999999999999</v>
      </c>
      <c r="C22" s="1">
        <f>B12/B22</f>
        <v>3.0422878004259206E-5</v>
      </c>
      <c r="D22">
        <f>(($B$10/(2*$B$7))^2+9*E16*C22/(2*$B$6*($B$9-$B$8)))^(1/2)-$B$10/(2*$B$7)</f>
        <v>5.062883130590944E-7</v>
      </c>
      <c r="E22" s="1">
        <f>(D22+$B$10/(2*$B$7))^(-1)*9*E16/(2*$B$6*($B$9-$B$8))*1/2*C28</f>
        <v>1.4210840139496701E-8</v>
      </c>
      <c r="F22" s="1"/>
      <c r="G22">
        <v>78.278999999999996</v>
      </c>
      <c r="H22" s="1">
        <f>$B$12/(G22-B26)</f>
        <v>1.8968133535660121E-4</v>
      </c>
      <c r="I22" s="1">
        <f>(4*PI()/3)*B29^3*($B$9-$B$8)*($B$6/E18)*(1+ABS(H22)/B28)</f>
        <v>1.3137751212887774E-18</v>
      </c>
      <c r="K22">
        <v>89.823999999999998</v>
      </c>
      <c r="L22" s="1">
        <f>B12/(K22-G26)</f>
        <v>3.0807147258163809E-4</v>
      </c>
      <c r="M22" s="1">
        <f>-(4*PI()/3)*B29^3*($B$9-$B$8)*($B$6/$E$18)*(1-ABS(L22)/B28)</f>
        <v>1.6181181352737753E-18</v>
      </c>
    </row>
    <row r="23" spans="1:17" x14ac:dyDescent="0.25">
      <c r="A23">
        <v>2</v>
      </c>
      <c r="B23">
        <v>31.13</v>
      </c>
      <c r="C23" s="1">
        <f>$B$12/(B23-B22)</f>
        <v>3.4025178632187818E-5</v>
      </c>
      <c r="D23">
        <f>(($B$10/(2*$B$7))^2+9*E16*C23/(2*$B$6*($B$9-$B$8)))^(1/2)-$B$10/(2*$B$7)</f>
        <v>5.3758509736034591E-7</v>
      </c>
      <c r="E23" s="1">
        <f>(D23+$B$10/(2*$B$7))^(-1)*9*E16/(2*$B$6*($B$9-$B$8))*1/2*C28</f>
        <v>1.3441435407270344E-8</v>
      </c>
      <c r="F23" s="1"/>
      <c r="G23">
        <v>80.727999999999994</v>
      </c>
      <c r="H23" s="1">
        <f>$B$12/(G23-G22)</f>
        <v>2.0416496529195607E-4</v>
      </c>
      <c r="I23" s="1">
        <f>(4*PI()/3)*B29^3*($B$9-$B$8)*($B$6/E18)*(1+ABS(H23)/B28)</f>
        <v>1.3990874615926084E-18</v>
      </c>
      <c r="K23">
        <v>91.921000000000006</v>
      </c>
      <c r="L23" s="1">
        <f>$B$12/(K23-K22)</f>
        <v>2.3843586075345636E-4</v>
      </c>
      <c r="M23" s="1">
        <f>-(4*PI()/3)*B29^3*($B$9-$B$8)*($B$6/$E$18)*(1-ABS(L23)/B28)</f>
        <v>1.2079463040362385E-18</v>
      </c>
    </row>
    <row r="24" spans="1:17" x14ac:dyDescent="0.25">
      <c r="A24">
        <v>3</v>
      </c>
      <c r="B24">
        <v>48.39</v>
      </c>
      <c r="C24" s="1">
        <f t="shared" ref="C24:C26" si="0">$B$12/(B24-B23)</f>
        <v>2.896871378910776E-5</v>
      </c>
      <c r="D24">
        <f>(($B$10/(2*$B$7))^2+9*E16*C24/(2*$B$6*($B$9-$B$8)))^(1/2)-$B$10/(2*$B$7)</f>
        <v>4.9313472675573684E-7</v>
      </c>
      <c r="E24" s="1">
        <f>(D24+$B$10/(2*$B$7))^(-1)*9*E16/(2*$B$6*($B$9-$B$8))*1/2*C28</f>
        <v>1.4561147503463056E-8</v>
      </c>
      <c r="F24" s="1"/>
      <c r="G24">
        <v>83.061000000000007</v>
      </c>
      <c r="H24" s="1">
        <f>$B$12/(G24-G23)</f>
        <v>2.1431633090441377E-4</v>
      </c>
      <c r="I24" s="1">
        <f>(4*PI()/3)*B29^3*($B$9-$B$8)*($B$6/E18)*(1+ABS(H24)/B28)</f>
        <v>1.4588816403685093E-18</v>
      </c>
      <c r="K24">
        <v>93.896000000000001</v>
      </c>
      <c r="L24" s="1">
        <f>$B$12/(K24-K23)</f>
        <v>2.5316455696202604E-4</v>
      </c>
      <c r="M24" s="1">
        <f>-(4*PI()/3)*B29^3*($B$9-$B$8)*($B$6/E18)*(1-ABS(L24)/B28)</f>
        <v>1.2947021483090889E-18</v>
      </c>
    </row>
    <row r="25" spans="1:17" x14ac:dyDescent="0.25">
      <c r="A25">
        <v>4</v>
      </c>
      <c r="B25">
        <f>B24+(B26-B24)/2</f>
        <v>62.016500000000001</v>
      </c>
      <c r="C25" s="1">
        <f t="shared" si="0"/>
        <v>3.669320808718306E-5</v>
      </c>
      <c r="D25">
        <f>(($B$10/(2*$B$7))^2+9*E16*C25/(2*$B$6*($B$9-$B$8)))^(1/2)-$B$10/(2*$B$7)</f>
        <v>5.5971386722735553E-7</v>
      </c>
      <c r="E25" s="1">
        <f>(D25+$B$10/(2*$B$7))^(-1)*9*E16/(2*$B$6*($B$9-$B$8))*1/2*C28</f>
        <v>1.2945844817480489E-8</v>
      </c>
      <c r="F25" s="1"/>
      <c r="G25">
        <v>85.65</v>
      </c>
      <c r="H25" s="1">
        <f>$B$12/(G25-G24)</f>
        <v>1.9312475859405186E-4</v>
      </c>
      <c r="I25" s="1">
        <f>(4*PI()/3)*B29^3*($B$9-$B$8)*($B$6/E18)*(1+ABS(H25)/B28)</f>
        <v>1.3340577780781792E-18</v>
      </c>
      <c r="K25">
        <v>95.641999999999996</v>
      </c>
      <c r="L25" s="1">
        <f t="shared" ref="L25:L26" si="1">$B$12/(K25-K24)</f>
        <v>2.8636884306987482E-4</v>
      </c>
      <c r="M25" s="1">
        <f>-(4*PI()/3)*B29^3*($B$9-$B$8)*($B$6/E18)*(1-ABS(L25)/B28)</f>
        <v>1.4902840133955334E-18</v>
      </c>
    </row>
    <row r="26" spans="1:17" x14ac:dyDescent="0.25">
      <c r="A26">
        <v>5</v>
      </c>
      <c r="B26">
        <v>75.643000000000001</v>
      </c>
      <c r="C26" s="1">
        <f t="shared" si="0"/>
        <v>3.669320808718306E-5</v>
      </c>
      <c r="D26">
        <f>(($B$10/(2*$B$7))^2+9*E16*C26/(2*$B$6*($B$9-$B$8)))^(1/2)-$B$10/(2*$B$7)</f>
        <v>5.5971386722735553E-7</v>
      </c>
      <c r="E26" s="1">
        <f>(D26+$B$10/(2*$B$7))^(-1)*9*E16/(2*$B$6*($B$9-$B$8))*1/2*C28</f>
        <v>1.2945844817480489E-8</v>
      </c>
      <c r="F26" s="1"/>
      <c r="G26">
        <v>88.200999999999993</v>
      </c>
      <c r="H26" s="1">
        <f>$B$12/(G26-G25)</f>
        <v>1.9600156801254505E-4</v>
      </c>
      <c r="I26" s="1">
        <f>(4*PI()/3)*B29^3*($B$9-$B$8)*($B$6/E18)*(1+ABS(H26)/B28)</f>
        <v>1.351002932379634E-18</v>
      </c>
      <c r="K26">
        <v>97.638999999999996</v>
      </c>
      <c r="L26" s="1">
        <f t="shared" si="1"/>
        <v>2.5037556334501755E-4</v>
      </c>
      <c r="M26" s="1">
        <f>-(4*PI()/3)*B29^3*($B$9-$B$8)*($B$6/E18)*(1-ABS(L26)/B28)</f>
        <v>1.278274251875569E-18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3.336063731998418E-5</v>
      </c>
      <c r="C28" s="1">
        <f>_xlfn.STDEV.S(C22:C26)/SQRT(COUNT(C22:C26))</f>
        <v>1.5901744100977927E-6</v>
      </c>
      <c r="F28" t="str">
        <f>J28</f>
        <v>Velocità</v>
      </c>
      <c r="G28" s="1">
        <f>AVERAGE(H22:H26)</f>
        <v>1.9945779163191361E-4</v>
      </c>
      <c r="H28" s="1">
        <f>_xlfn.STDEV.S(H22:H26)</f>
        <v>9.8813657918206318E-6</v>
      </c>
      <c r="I28" s="2">
        <f>H28/SQRT(5)</f>
        <v>4.4190811242103931E-6</v>
      </c>
      <c r="J28" t="s">
        <v>27</v>
      </c>
      <c r="K28" s="1">
        <f>AVERAGE(L22:L26)</f>
        <v>2.6728325934240258E-4</v>
      </c>
      <c r="L28" s="1">
        <f>_xlfn.STDEV.S(L22:L26)</f>
        <v>2.8919362854594826E-5</v>
      </c>
      <c r="M28" s="2">
        <f>L28/SQRT(5)</f>
        <v>1.293313224177128E-5</v>
      </c>
    </row>
    <row r="29" spans="1:17" x14ac:dyDescent="0.25">
      <c r="A29" t="s">
        <v>5</v>
      </c>
      <c r="B29">
        <f>AVERAGE(D22:D26)</f>
        <v>5.3128717432597762E-7</v>
      </c>
      <c r="C29">
        <f>_xlfn.STDEV.S(D22:D26)/SQRT(COUNT(D22:D26))</f>
        <v>1.3668156227900986E-8</v>
      </c>
      <c r="D29" s="1">
        <f>(B29+$B$10/(2*$B$7))^(-1)*9*E16/(2*$B$6*($B$9-$B$8))*1/2*C28</f>
        <v>1.3589494827336189E-8</v>
      </c>
      <c r="F29" t="str">
        <f>J29</f>
        <v>Carica</v>
      </c>
      <c r="G29">
        <f>AVERAGE(I22:I26)</f>
        <v>1.3713609867415416E-18</v>
      </c>
      <c r="H29">
        <f>_xlfn.STDEV.S(I22:I26)</f>
        <v>5.8203809739756516E-20</v>
      </c>
      <c r="I29" s="2">
        <f>H29/SQRT(5)</f>
        <v>2.6029535025511981E-20</v>
      </c>
      <c r="J29" t="s">
        <v>33</v>
      </c>
      <c r="K29">
        <f>AVERAGE(M22:M26)</f>
        <v>1.3778649705780412E-18</v>
      </c>
      <c r="L29">
        <f>_xlfn.STDEV.S(M22:M26)</f>
        <v>1.7034255474856636E-19</v>
      </c>
      <c r="M29" s="2">
        <f>L29/SQRT(5)</f>
        <v>7.6179506375754796E-20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1.4210840139496701E-8</v>
      </c>
      <c r="E33">
        <v>1.3441435407270344E-8</v>
      </c>
      <c r="F33">
        <v>1.4561147503463056E-8</v>
      </c>
      <c r="G33">
        <v>1.2945844817480489E-8</v>
      </c>
      <c r="H33">
        <v>1.2945844817480489E-8</v>
      </c>
    </row>
    <row r="34" spans="1:13" x14ac:dyDescent="0.25">
      <c r="C34" t="s">
        <v>21</v>
      </c>
      <c r="D34">
        <v>5.062883130590944E-7</v>
      </c>
      <c r="E34">
        <v>5.3758509736034591E-7</v>
      </c>
      <c r="F34">
        <v>4.9313472675573684E-7</v>
      </c>
      <c r="G34">
        <v>5.5971386722735553E-7</v>
      </c>
      <c r="H34">
        <v>5.5971386722735553E-7</v>
      </c>
    </row>
    <row r="35" spans="1:13" x14ac:dyDescent="0.25">
      <c r="A35">
        <v>1</v>
      </c>
      <c r="B35" s="1">
        <f>E22</f>
        <v>1.4210840139496701E-8</v>
      </c>
      <c r="C35">
        <f>D22</f>
        <v>5.062883130590944E-7</v>
      </c>
      <c r="D35">
        <f t="shared" ref="D35:H39" si="2">($C35-D$34)/SQRT($B35^2+D$33^2)</f>
        <v>0</v>
      </c>
      <c r="E35">
        <f t="shared" si="2"/>
        <v>-1.5999845551099923</v>
      </c>
      <c r="F35">
        <f t="shared" si="2"/>
        <v>0.64648302266552704</v>
      </c>
      <c r="G35">
        <f t="shared" si="2"/>
        <v>-2.7791796351126803</v>
      </c>
      <c r="H35">
        <f t="shared" si="2"/>
        <v>-2.7791796351126803</v>
      </c>
    </row>
    <row r="36" spans="1:13" x14ac:dyDescent="0.25">
      <c r="A36">
        <v>2</v>
      </c>
      <c r="B36">
        <f>E23</f>
        <v>1.3441435407270344E-8</v>
      </c>
      <c r="C36">
        <f>D23</f>
        <v>5.3758509736034591E-7</v>
      </c>
      <c r="D36">
        <f t="shared" si="2"/>
        <v>1.5999845551099923</v>
      </c>
      <c r="E36">
        <f t="shared" si="2"/>
        <v>0</v>
      </c>
      <c r="F36">
        <f t="shared" si="2"/>
        <v>2.243083168973468</v>
      </c>
      <c r="G36">
        <f t="shared" si="2"/>
        <v>-1.1857716356405368</v>
      </c>
      <c r="H36">
        <f t="shared" si="2"/>
        <v>-1.1857716356405368</v>
      </c>
    </row>
    <row r="37" spans="1:13" x14ac:dyDescent="0.25">
      <c r="A37">
        <v>3</v>
      </c>
      <c r="B37">
        <f>E24</f>
        <v>1.4561147503463056E-8</v>
      </c>
      <c r="C37">
        <f>D24</f>
        <v>4.9313472675573684E-7</v>
      </c>
      <c r="D37">
        <f t="shared" si="2"/>
        <v>-0.64648302266552704</v>
      </c>
      <c r="E37">
        <f t="shared" si="2"/>
        <v>-2.243083168973468</v>
      </c>
      <c r="F37">
        <f t="shared" si="2"/>
        <v>0</v>
      </c>
      <c r="G37">
        <f t="shared" si="2"/>
        <v>-3.4171382246455289</v>
      </c>
      <c r="H37">
        <f t="shared" si="2"/>
        <v>-3.4171382246455289</v>
      </c>
    </row>
    <row r="38" spans="1:13" x14ac:dyDescent="0.25">
      <c r="A38">
        <v>4</v>
      </c>
      <c r="B38">
        <f>E25</f>
        <v>1.2945844817480489E-8</v>
      </c>
      <c r="C38">
        <f>D25</f>
        <v>5.5971386722735553E-7</v>
      </c>
      <c r="D38">
        <f t="shared" si="2"/>
        <v>2.7791796351126803</v>
      </c>
      <c r="E38">
        <f t="shared" si="2"/>
        <v>1.1857716356405368</v>
      </c>
      <c r="F38">
        <f t="shared" si="2"/>
        <v>3.4171382246455289</v>
      </c>
      <c r="G38">
        <f t="shared" si="2"/>
        <v>0</v>
      </c>
      <c r="H38">
        <f t="shared" si="2"/>
        <v>0</v>
      </c>
    </row>
    <row r="39" spans="1:13" x14ac:dyDescent="0.25">
      <c r="A39">
        <v>5</v>
      </c>
      <c r="B39">
        <f>E26</f>
        <v>1.2945844817480489E-8</v>
      </c>
      <c r="C39">
        <f>D26</f>
        <v>5.5971386722735553E-7</v>
      </c>
      <c r="D39">
        <f t="shared" si="2"/>
        <v>2.7791796351126803</v>
      </c>
      <c r="E39">
        <f t="shared" si="2"/>
        <v>1.1857716356405368</v>
      </c>
      <c r="F39">
        <f t="shared" si="2"/>
        <v>3.4171382246455289</v>
      </c>
      <c r="G39">
        <f t="shared" si="2"/>
        <v>0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5.8203809739756516E-20</v>
      </c>
      <c r="E42">
        <v>5.8203809739756516E-20</v>
      </c>
      <c r="F42">
        <v>5.8203809739756516E-20</v>
      </c>
      <c r="G42">
        <v>5.8203809739756516E-20</v>
      </c>
      <c r="H42">
        <v>5.8203809739756516E-20</v>
      </c>
      <c r="I42">
        <v>1.7034255474856636E-19</v>
      </c>
      <c r="J42">
        <v>1.7034255474856636E-19</v>
      </c>
      <c r="K42">
        <v>1.7034255474856636E-19</v>
      </c>
      <c r="L42">
        <v>1.7034255474856636E-19</v>
      </c>
      <c r="M42">
        <v>1.7034255474856636E-19</v>
      </c>
    </row>
    <row r="43" spans="1:13" x14ac:dyDescent="0.25">
      <c r="C43" t="s">
        <v>35</v>
      </c>
      <c r="D43">
        <v>1.3137751212887774E-18</v>
      </c>
      <c r="E43">
        <v>1.3990874615926084E-18</v>
      </c>
      <c r="F43">
        <v>1.4588816403685093E-18</v>
      </c>
      <c r="G43">
        <v>1.3340577780781792E-18</v>
      </c>
      <c r="H43">
        <v>1.351002932379634E-18</v>
      </c>
      <c r="I43">
        <v>1.6181181352737753E-18</v>
      </c>
      <c r="J43">
        <v>1.2079463040362385E-18</v>
      </c>
      <c r="K43">
        <v>1.2947021483090889E-18</v>
      </c>
      <c r="L43">
        <v>1.4902840133955334E-18</v>
      </c>
      <c r="M43">
        <v>1.278274251875569E-18</v>
      </c>
    </row>
    <row r="44" spans="1:13" x14ac:dyDescent="0.25">
      <c r="A44">
        <v>1</v>
      </c>
      <c r="B44">
        <f>$H$29</f>
        <v>5.8203809739756516E-20</v>
      </c>
      <c r="C44" s="1">
        <f>I22</f>
        <v>1.3137751212887774E-18</v>
      </c>
      <c r="D44">
        <f>($C44-D$43)/SQRT($B44^2+D$42^2)</f>
        <v>0</v>
      </c>
      <c r="E44">
        <f t="shared" ref="E44:M44" si="3">($C44-E$43)/SQRT($B44^2+E$42^2)</f>
        <v>-1.0364430544574466</v>
      </c>
      <c r="F44">
        <f t="shared" si="3"/>
        <v>-1.7628709202100215</v>
      </c>
      <c r="G44">
        <f t="shared" si="3"/>
        <v>-0.24641005838607447</v>
      </c>
      <c r="H44">
        <f t="shared" si="3"/>
        <v>-0.45227344719834867</v>
      </c>
      <c r="I44">
        <f t="shared" si="3"/>
        <v>-1.6906831331021643</v>
      </c>
      <c r="J44">
        <f t="shared" si="3"/>
        <v>0.58789914045419323</v>
      </c>
      <c r="K44">
        <f t="shared" si="3"/>
        <v>0.10595398032189469</v>
      </c>
      <c r="L44">
        <f t="shared" si="3"/>
        <v>-0.9805403541878317</v>
      </c>
      <c r="M44">
        <f t="shared" si="3"/>
        <v>0.1972140590364678</v>
      </c>
    </row>
    <row r="45" spans="1:13" x14ac:dyDescent="0.25">
      <c r="A45">
        <v>2</v>
      </c>
      <c r="B45">
        <f t="shared" ref="B45:B48" si="4">$H$29</f>
        <v>5.8203809739756516E-20</v>
      </c>
      <c r="C45" s="1">
        <f t="shared" ref="C45:C48" si="5">I23</f>
        <v>1.3990874615926084E-18</v>
      </c>
      <c r="D45">
        <f t="shared" ref="D45:M53" si="6">($C45-D$43)/SQRT($B45^2+D$42^2)</f>
        <v>1.0364430544574466</v>
      </c>
      <c r="E45">
        <f t="shared" si="6"/>
        <v>0</v>
      </c>
      <c r="F45">
        <f t="shared" si="6"/>
        <v>-0.72642786575257468</v>
      </c>
      <c r="G45">
        <f t="shared" si="6"/>
        <v>0.79003299607137212</v>
      </c>
      <c r="H45">
        <f t="shared" si="6"/>
        <v>0.58416960725909794</v>
      </c>
      <c r="I45">
        <f t="shared" si="6"/>
        <v>-1.2167569111443672</v>
      </c>
      <c r="J45">
        <f t="shared" si="6"/>
        <v>1.0618253624119904</v>
      </c>
      <c r="K45">
        <f t="shared" si="6"/>
        <v>0.57988020227969173</v>
      </c>
      <c r="L45">
        <f t="shared" si="6"/>
        <v>-0.5066141322300346</v>
      </c>
      <c r="M45">
        <f t="shared" si="6"/>
        <v>0.67114028099426493</v>
      </c>
    </row>
    <row r="46" spans="1:13" x14ac:dyDescent="0.25">
      <c r="A46">
        <v>3</v>
      </c>
      <c r="B46">
        <f t="shared" si="4"/>
        <v>5.8203809739756516E-20</v>
      </c>
      <c r="C46" s="1">
        <f t="shared" si="5"/>
        <v>1.4588816403685093E-18</v>
      </c>
      <c r="D46">
        <f t="shared" si="6"/>
        <v>1.7628709202100215</v>
      </c>
      <c r="E46">
        <f t="shared" si="6"/>
        <v>0.72642786575257468</v>
      </c>
      <c r="F46">
        <f t="shared" si="6"/>
        <v>0</v>
      </c>
      <c r="G46">
        <f t="shared" si="6"/>
        <v>1.5164608618239468</v>
      </c>
      <c r="H46">
        <f t="shared" si="6"/>
        <v>1.3105974730116727</v>
      </c>
      <c r="I46">
        <f t="shared" si="6"/>
        <v>-0.8845889136259677</v>
      </c>
      <c r="J46">
        <f t="shared" si="6"/>
        <v>1.3939933599303898</v>
      </c>
      <c r="K46">
        <f t="shared" si="6"/>
        <v>0.91204819979809126</v>
      </c>
      <c r="L46">
        <f t="shared" si="6"/>
        <v>-0.17444613471163506</v>
      </c>
      <c r="M46">
        <f t="shared" si="6"/>
        <v>1.0033082785126644</v>
      </c>
    </row>
    <row r="47" spans="1:13" x14ac:dyDescent="0.25">
      <c r="A47">
        <v>4</v>
      </c>
      <c r="B47">
        <f t="shared" si="4"/>
        <v>5.8203809739756516E-20</v>
      </c>
      <c r="C47" s="1">
        <f t="shared" si="5"/>
        <v>1.3340577780781792E-18</v>
      </c>
      <c r="D47">
        <f t="shared" si="6"/>
        <v>0.24641005838607447</v>
      </c>
      <c r="E47">
        <f t="shared" si="6"/>
        <v>-0.79003299607137212</v>
      </c>
      <c r="F47">
        <f t="shared" si="6"/>
        <v>-1.5164608618239468</v>
      </c>
      <c r="G47">
        <f t="shared" si="6"/>
        <v>0</v>
      </c>
      <c r="H47">
        <f t="shared" si="6"/>
        <v>-0.2058633888122742</v>
      </c>
      <c r="I47">
        <f t="shared" si="6"/>
        <v>-1.5780091299130126</v>
      </c>
      <c r="J47">
        <f t="shared" si="6"/>
        <v>0.700573143643345</v>
      </c>
      <c r="K47">
        <f t="shared" si="6"/>
        <v>0.2186279835110464</v>
      </c>
      <c r="L47">
        <f t="shared" si="6"/>
        <v>-0.86786635099867993</v>
      </c>
      <c r="M47">
        <f t="shared" si="6"/>
        <v>0.30988806222561949</v>
      </c>
    </row>
    <row r="48" spans="1:13" x14ac:dyDescent="0.25">
      <c r="A48">
        <v>5</v>
      </c>
      <c r="B48">
        <f t="shared" si="4"/>
        <v>5.8203809739756516E-20</v>
      </c>
      <c r="C48" s="1">
        <f t="shared" si="5"/>
        <v>1.351002932379634E-18</v>
      </c>
      <c r="D48">
        <f t="shared" si="6"/>
        <v>0.45227344719834867</v>
      </c>
      <c r="E48">
        <f t="shared" si="6"/>
        <v>-0.58416960725909794</v>
      </c>
      <c r="F48">
        <f t="shared" si="6"/>
        <v>-1.3105974730116727</v>
      </c>
      <c r="G48">
        <f t="shared" si="6"/>
        <v>0.2058633888122742</v>
      </c>
      <c r="H48">
        <f t="shared" si="6"/>
        <v>0</v>
      </c>
      <c r="I48">
        <f t="shared" si="6"/>
        <v>-1.4838755856920978</v>
      </c>
      <c r="J48">
        <f t="shared" si="6"/>
        <v>0.7947066878642598</v>
      </c>
      <c r="K48">
        <f t="shared" si="6"/>
        <v>0.31276152773196125</v>
      </c>
      <c r="L48">
        <f t="shared" si="6"/>
        <v>-0.77373280677776513</v>
      </c>
      <c r="M48">
        <f t="shared" si="6"/>
        <v>0.4040216064465344</v>
      </c>
    </row>
    <row r="49" spans="1:13" x14ac:dyDescent="0.25">
      <c r="A49">
        <v>6</v>
      </c>
      <c r="B49">
        <f>$L$29</f>
        <v>1.7034255474856636E-19</v>
      </c>
      <c r="C49" s="1">
        <f>M22</f>
        <v>1.6181181352737753E-18</v>
      </c>
      <c r="D49">
        <f t="shared" si="6"/>
        <v>1.6906831331021643</v>
      </c>
      <c r="E49">
        <f t="shared" si="6"/>
        <v>1.2167569111443672</v>
      </c>
      <c r="F49">
        <f t="shared" si="6"/>
        <v>0.8845889136259677</v>
      </c>
      <c r="G49">
        <f t="shared" si="6"/>
        <v>1.5780091299130126</v>
      </c>
      <c r="H49">
        <f t="shared" si="6"/>
        <v>1.4838755856920978</v>
      </c>
      <c r="I49">
        <f t="shared" si="6"/>
        <v>0</v>
      </c>
      <c r="J49">
        <f t="shared" si="6"/>
        <v>1.7026589964432095</v>
      </c>
      <c r="K49">
        <f t="shared" si="6"/>
        <v>1.3425279306420319</v>
      </c>
      <c r="L49">
        <f t="shared" si="6"/>
        <v>0.53065057395995907</v>
      </c>
      <c r="M49">
        <f t="shared" si="6"/>
        <v>1.4107215595676894</v>
      </c>
    </row>
    <row r="50" spans="1:13" x14ac:dyDescent="0.25">
      <c r="A50">
        <v>7</v>
      </c>
      <c r="B50">
        <f t="shared" ref="B50:B53" si="7">$L$29</f>
        <v>1.7034255474856636E-19</v>
      </c>
      <c r="C50" s="1">
        <f t="shared" ref="C50:C53" si="8">M23</f>
        <v>1.2079463040362385E-18</v>
      </c>
      <c r="D50">
        <f t="shared" si="6"/>
        <v>-0.58789914045419323</v>
      </c>
      <c r="E50">
        <f t="shared" si="6"/>
        <v>-1.0618253624119904</v>
      </c>
      <c r="F50">
        <f t="shared" si="6"/>
        <v>-1.3939933599303898</v>
      </c>
      <c r="G50">
        <f t="shared" si="6"/>
        <v>-0.700573143643345</v>
      </c>
      <c r="H50">
        <f t="shared" si="6"/>
        <v>-0.7947066878642598</v>
      </c>
      <c r="I50">
        <f t="shared" si="6"/>
        <v>-1.7026589964432095</v>
      </c>
      <c r="J50">
        <f t="shared" si="6"/>
        <v>0</v>
      </c>
      <c r="K50">
        <f t="shared" si="6"/>
        <v>-0.36013106580117754</v>
      </c>
      <c r="L50">
        <f t="shared" si="6"/>
        <v>-1.1720084224832505</v>
      </c>
      <c r="M50">
        <f t="shared" si="6"/>
        <v>-0.29193743687552004</v>
      </c>
    </row>
    <row r="51" spans="1:13" x14ac:dyDescent="0.25">
      <c r="A51">
        <v>8</v>
      </c>
      <c r="B51">
        <f t="shared" si="7"/>
        <v>1.7034255474856636E-19</v>
      </c>
      <c r="C51" s="1">
        <f t="shared" si="8"/>
        <v>1.2947021483090889E-18</v>
      </c>
      <c r="D51">
        <f t="shared" si="6"/>
        <v>-0.10595398032189469</v>
      </c>
      <c r="E51">
        <f t="shared" si="6"/>
        <v>-0.57988020227969173</v>
      </c>
      <c r="F51">
        <f t="shared" si="6"/>
        <v>-0.91204819979809126</v>
      </c>
      <c r="G51">
        <f t="shared" si="6"/>
        <v>-0.2186279835110464</v>
      </c>
      <c r="H51">
        <f t="shared" si="6"/>
        <v>-0.31276152773196125</v>
      </c>
      <c r="I51">
        <f t="shared" si="6"/>
        <v>-1.3425279306420319</v>
      </c>
      <c r="J51">
        <f t="shared" si="6"/>
        <v>0.36013106580117754</v>
      </c>
      <c r="K51">
        <f t="shared" si="6"/>
        <v>0</v>
      </c>
      <c r="L51">
        <f t="shared" si="6"/>
        <v>-0.81187735668207295</v>
      </c>
      <c r="M51">
        <f t="shared" si="6"/>
        <v>6.8193628925657543E-2</v>
      </c>
    </row>
    <row r="52" spans="1:13" x14ac:dyDescent="0.25">
      <c r="A52">
        <v>9</v>
      </c>
      <c r="B52">
        <f t="shared" si="7"/>
        <v>1.7034255474856636E-19</v>
      </c>
      <c r="C52" s="1">
        <f t="shared" si="8"/>
        <v>1.4902840133955334E-18</v>
      </c>
      <c r="D52">
        <f t="shared" si="6"/>
        <v>0.9805403541878317</v>
      </c>
      <c r="E52">
        <f t="shared" si="6"/>
        <v>0.5066141322300346</v>
      </c>
      <c r="F52">
        <f t="shared" si="6"/>
        <v>0.17444613471163506</v>
      </c>
      <c r="G52">
        <f t="shared" si="6"/>
        <v>0.86786635099867993</v>
      </c>
      <c r="H52">
        <f t="shared" si="6"/>
        <v>0.77373280677776513</v>
      </c>
      <c r="I52">
        <f t="shared" si="6"/>
        <v>-0.53065057395995907</v>
      </c>
      <c r="J52">
        <f t="shared" si="6"/>
        <v>1.1720084224832505</v>
      </c>
      <c r="K52">
        <f t="shared" si="6"/>
        <v>0.81187735668207295</v>
      </c>
      <c r="L52">
        <f t="shared" si="6"/>
        <v>0</v>
      </c>
      <c r="M52">
        <f t="shared" si="6"/>
        <v>0.88007098560773045</v>
      </c>
    </row>
    <row r="53" spans="1:13" x14ac:dyDescent="0.25">
      <c r="A53">
        <v>10</v>
      </c>
      <c r="B53">
        <f t="shared" si="7"/>
        <v>1.7034255474856636E-19</v>
      </c>
      <c r="C53" s="1">
        <f t="shared" si="8"/>
        <v>1.278274251875569E-18</v>
      </c>
      <c r="D53">
        <f t="shared" si="6"/>
        <v>-0.1972140590364678</v>
      </c>
      <c r="E53">
        <f t="shared" si="6"/>
        <v>-0.67114028099426493</v>
      </c>
      <c r="F53">
        <f t="shared" si="6"/>
        <v>-1.0033082785126644</v>
      </c>
      <c r="G53">
        <f t="shared" si="6"/>
        <v>-0.30988806222561949</v>
      </c>
      <c r="H53">
        <f t="shared" si="6"/>
        <v>-0.4040216064465344</v>
      </c>
      <c r="I53">
        <f t="shared" si="6"/>
        <v>-1.4107215595676894</v>
      </c>
      <c r="J53">
        <f t="shared" si="6"/>
        <v>0.29193743687552004</v>
      </c>
      <c r="K53">
        <f t="shared" si="6"/>
        <v>-6.8193628925657543E-2</v>
      </c>
      <c r="L53">
        <f t="shared" si="6"/>
        <v>-0.88007098560773045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9" priority="3" operator="greaterThan">
      <formula>1.96</formula>
    </cfRule>
  </conditionalFormatting>
  <conditionalFormatting sqref="D36:H39">
    <cfRule type="cellIs" dxfId="5" priority="2" operator="notBetween">
      <formula>-1.96</formula>
      <formula>1.96</formula>
    </cfRule>
  </conditionalFormatting>
  <conditionalFormatting sqref="D35:H35">
    <cfRule type="cellIs" dxfId="4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7" zoomScaleNormal="100" workbookViewId="0">
      <selection activeCell="D35" sqref="D35:H39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2.7524555290608106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1.8285900000000001E-5</v>
      </c>
    </row>
    <row r="17" spans="1:17" x14ac:dyDescent="0.25">
      <c r="A17" t="s">
        <v>23</v>
      </c>
      <c r="B17">
        <v>2.25</v>
      </c>
      <c r="D17" t="s">
        <v>1</v>
      </c>
      <c r="E17" s="2">
        <f>E16/(1+$B$10/($B$7*B29))</f>
        <v>1.5497968936657641E-5</v>
      </c>
    </row>
    <row r="18" spans="1:17" x14ac:dyDescent="0.25">
      <c r="A18" t="s">
        <v>24</v>
      </c>
      <c r="B18">
        <v>21</v>
      </c>
      <c r="D18" t="s">
        <v>32</v>
      </c>
      <c r="E18" s="1">
        <f>B16/B5</f>
        <v>26917.900403768504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7.4156609935685237E-5</v>
      </c>
      <c r="I19">
        <f>_xlfn.STDEV.S(H22:H26)</f>
        <v>1.9886633000064853E-6</v>
      </c>
      <c r="J19" s="1">
        <f>H19-2*I19</f>
        <v>7.0179283335672273E-5</v>
      </c>
      <c r="K19" s="1">
        <f>H19+2*I19</f>
        <v>7.8133936535698201E-5</v>
      </c>
      <c r="M19" t="s">
        <v>44</v>
      </c>
      <c r="N19" s="1">
        <f>AVERAGE(L22:L26)</f>
        <v>1.0652124683128256E-4</v>
      </c>
      <c r="O19">
        <f>_xlfn.STDEV.S(L22:L26)</f>
        <v>4.3125153865392349E-5</v>
      </c>
      <c r="P19" s="1">
        <f>N19-2*O19</f>
        <v>2.0270939100497867E-5</v>
      </c>
      <c r="Q19" s="1">
        <f>N19+2*O19</f>
        <v>1.9277155456206728E-4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7" x14ac:dyDescent="0.25">
      <c r="A22">
        <v>1</v>
      </c>
      <c r="B22">
        <v>20.286999999999999</v>
      </c>
      <c r="C22" s="1">
        <f>B12/B22</f>
        <v>2.4646325232907775E-5</v>
      </c>
      <c r="D22">
        <f>(($B$10/(2*$B$7))^2+9*E16*C22/(2*$B$6*($B$9-$B$8)))^(1/2)-$B$10/(2*$B$7)</f>
        <v>4.5196674315569819E-7</v>
      </c>
      <c r="E22" s="1">
        <f>(D22+$B$10/(2*$B$7))^(-1)*9*E16/(2*$B$6*($B$9-$B$8))*1/2*C28</f>
        <v>3.0712791349418125E-9</v>
      </c>
      <c r="F22" s="1"/>
      <c r="G22">
        <v>109.126</v>
      </c>
      <c r="H22" s="1">
        <f>$B$12/(G22-B26)</f>
        <v>7.387706855791962E-5</v>
      </c>
      <c r="I22" s="1">
        <f>(4*PI()/3)*B29^3*($B$9-$B$8)*($B$6/E18)*(1+ABS(H22)/B28)</f>
        <v>4.7993579861731002E-19</v>
      </c>
      <c r="K22">
        <v>140.56100000000001</v>
      </c>
      <c r="L22" s="1">
        <f>B12/(K22-G26)</f>
        <v>1.1183180496533206E-4</v>
      </c>
      <c r="M22" s="1">
        <f>-(4*PI()/3)*B29^3*($B$9-$B$8)*($B$6/$E$18)*(1-ABS(L22)/B28)</f>
        <v>4.2660722875190391E-19</v>
      </c>
    </row>
    <row r="23" spans="1:17" x14ac:dyDescent="0.25">
      <c r="A23">
        <v>2</v>
      </c>
      <c r="B23">
        <v>39.957999999999998</v>
      </c>
      <c r="C23" s="1">
        <f>$B$12/(B23-B22)</f>
        <v>2.5418128209038688E-5</v>
      </c>
      <c r="D23">
        <f>(($B$10/(2*$B$7))^2+9*E16*C23/(2*$B$6*($B$9-$B$8)))^(1/2)-$B$10/(2*$B$7)</f>
        <v>4.5956630595240831E-7</v>
      </c>
      <c r="E23" s="1">
        <f>(D23+$B$10/(2*$B$7))^(-1)*9*E16/(2*$B$6*($B$9-$B$8))*1/2*C28</f>
        <v>3.0246011932403454E-9</v>
      </c>
      <c r="F23" s="1"/>
      <c r="G23">
        <v>115.92400000000001</v>
      </c>
      <c r="H23" s="1">
        <f>$B$12/(G23-G22)</f>
        <v>7.3551044424830813E-5</v>
      </c>
      <c r="I23" s="1">
        <f>(4*PI()/3)*B29^3*($B$9-$B$8)*($B$6/E18)*(1+ABS(H23)/B28)</f>
        <v>4.7834430275069622E-19</v>
      </c>
      <c r="K23">
        <v>144.26</v>
      </c>
      <c r="L23" s="1">
        <f>$B$12/(K23-K22)</f>
        <v>1.3517166801838395E-4</v>
      </c>
      <c r="M23" s="1">
        <f>-(4*PI()/3)*B29^3*($B$9-$B$8)*($B$6/$E$18)*(1-ABS(L23)/B28)</f>
        <v>5.4054141891243683E-19</v>
      </c>
    </row>
    <row r="24" spans="1:17" x14ac:dyDescent="0.25">
      <c r="A24">
        <v>3</v>
      </c>
      <c r="B24">
        <v>60.975000000000001</v>
      </c>
      <c r="C24" s="1">
        <f t="shared" ref="C24:C26" si="0">$B$12/(B24-B23)</f>
        <v>2.379026502355236E-5</v>
      </c>
      <c r="D24">
        <f>(($B$10/(2*$B$7))^2+9*E16*C24/(2*$B$6*($B$9-$B$8)))^(1/2)-$B$10/(2*$B$7)</f>
        <v>4.4339794512326137E-7</v>
      </c>
      <c r="E24" s="1">
        <f>(D24+$B$10/(2*$B$7))^(-1)*9*E16/(2*$B$6*($B$9-$B$8))*1/2*C28</f>
        <v>3.1256689848116621E-9</v>
      </c>
      <c r="F24" s="1"/>
      <c r="G24">
        <v>122.93600000000001</v>
      </c>
      <c r="H24" s="1">
        <f>$B$12/(G24-G23)</f>
        <v>7.1306332002281798E-5</v>
      </c>
      <c r="I24" s="1">
        <f>(4*PI()/3)*B29^3*($B$9-$B$8)*($B$6/E18)*(1+ABS(H24)/B28)</f>
        <v>4.6738667667443836E-19</v>
      </c>
      <c r="K24">
        <v>148.25</v>
      </c>
      <c r="L24" s="1">
        <f>$B$12/(K24-K23)</f>
        <v>1.2531328320801978E-4</v>
      </c>
      <c r="M24" s="1">
        <f>-(4*PI()/3)*B29^3*($B$9-$B$8)*($B$6/E18)*(1-ABS(L24)/B28)</f>
        <v>4.9241743947405406E-19</v>
      </c>
    </row>
    <row r="25" spans="1:17" x14ac:dyDescent="0.25">
      <c r="A25">
        <v>4</v>
      </c>
      <c r="B25">
        <v>82.025000000000006</v>
      </c>
      <c r="C25" s="1">
        <f t="shared" si="0"/>
        <v>2.3752969121140138E-5</v>
      </c>
      <c r="D25">
        <f>(($B$10/(2*$B$7))^2+9*E16*C25/(2*$B$6*($B$9-$B$8)))^(1/2)-$B$10/(2*$B$7)</f>
        <v>4.4302117677651516E-7</v>
      </c>
      <c r="E25" s="1">
        <f>(D25+$B$10/(2*$B$7))^(-1)*9*E16/(2*$B$6*($B$9-$B$8))*1/2*C28</f>
        <v>3.1281047440618489E-9</v>
      </c>
      <c r="F25" s="1"/>
      <c r="G25">
        <v>129.48099999999999</v>
      </c>
      <c r="H25" s="1">
        <f>$B$12/(G25-G24)</f>
        <v>7.639419404125301E-5</v>
      </c>
      <c r="I25" s="1">
        <f>(4*PI()/3)*B29^3*($B$9-$B$8)*($B$6/E18)*(1+ABS(H25)/B28)</f>
        <v>4.9222321662075574E-19</v>
      </c>
      <c r="K25">
        <v>152.11500000000001</v>
      </c>
      <c r="L25" s="1">
        <f t="shared" ref="L25:L26" si="1">$B$12/(K25-K24)</f>
        <v>1.2936610608020669E-4</v>
      </c>
      <c r="M25" s="1">
        <f>-(4*PI()/3)*B29^3*($B$9-$B$8)*($B$6/E18)*(1-ABS(L25)/B28)</f>
        <v>5.1220140696165778E-19</v>
      </c>
    </row>
    <row r="26" spans="1:17" x14ac:dyDescent="0.25">
      <c r="A26">
        <v>5</v>
      </c>
      <c r="B26">
        <v>102.358</v>
      </c>
      <c r="C26" s="1">
        <f t="shared" si="0"/>
        <v>2.4590567058476371E-5</v>
      </c>
      <c r="D26">
        <f>(($B$10/(2*$B$7))^2+9*E16*C26/(2*$B$6*($B$9-$B$8)))^(1/2)-$B$10/(2*$B$7)</f>
        <v>4.5141317232233861E-7</v>
      </c>
      <c r="E26" s="1">
        <f>(D26+$B$10/(2*$B$7))^(-1)*9*E16/(2*$B$6*($B$9-$B$8))*1/2*C28</f>
        <v>3.0747356300807389E-9</v>
      </c>
      <c r="F26" s="1"/>
      <c r="G26">
        <v>136.09</v>
      </c>
      <c r="H26" s="1">
        <f>$B$12/(G26-G25)</f>
        <v>7.5654410652140918E-5</v>
      </c>
      <c r="I26" s="1">
        <f>(4*PI()/3)*B29^3*($B$9-$B$8)*($B$6/E18)*(1+ABS(H26)/B28)</f>
        <v>4.8861194344656821E-19</v>
      </c>
      <c r="K26">
        <v>168.28399999999999</v>
      </c>
      <c r="L26" s="1">
        <f t="shared" si="1"/>
        <v>3.0923371884470316E-5</v>
      </c>
      <c r="M26" s="1">
        <f>-(4*PI()/3)*B29^3*($B$9-$B$8)*($B$6/E18)*(1-ABS(L26)/B28)</f>
        <v>3.1650464041140368E-20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2.4439650929023066E-5</v>
      </c>
      <c r="C28" s="1">
        <f>_xlfn.STDEV.S(C22:C26)/SQRT(COUNT(C22:C26))</f>
        <v>3.0952719533374944E-7</v>
      </c>
      <c r="F28" t="str">
        <f>J28</f>
        <v>Velocità</v>
      </c>
      <c r="G28" s="1">
        <f>AVERAGE(H22:H26)</f>
        <v>7.4156609935685237E-5</v>
      </c>
      <c r="H28" s="1">
        <f>_xlfn.STDEV.S(H22:H26)</f>
        <v>1.9886633000064853E-6</v>
      </c>
      <c r="I28" s="2">
        <f>H28/SQRT(5)</f>
        <v>8.8935726463471174E-7</v>
      </c>
      <c r="J28" t="s">
        <v>27</v>
      </c>
      <c r="K28" s="1">
        <f>AVERAGE(L22:L26)</f>
        <v>1.0652124683128256E-4</v>
      </c>
      <c r="L28" s="1">
        <f>_xlfn.STDEV.S(L22:L26)</f>
        <v>4.3125153865392349E-5</v>
      </c>
      <c r="M28" s="2">
        <f>L28/SQRT(5)</f>
        <v>1.9286155116631021E-5</v>
      </c>
    </row>
    <row r="29" spans="1:17" x14ac:dyDescent="0.25">
      <c r="A29" t="s">
        <v>5</v>
      </c>
      <c r="B29">
        <f>AVERAGE(D22:D26)</f>
        <v>4.498730686660443E-7</v>
      </c>
      <c r="C29">
        <f>_xlfn.STDEV.S(D22:D26)/SQRT(COUNT(D22:D26))</f>
        <v>3.0788787617460119E-9</v>
      </c>
      <c r="D29" s="1">
        <f>(B29+$B$10/(2*$B$7))^(-1)*9*E16/(2*$B$6*($B$9-$B$8))*1/2*C28</f>
        <v>3.08439309491309E-9</v>
      </c>
      <c r="F29" t="str">
        <f>J29</f>
        <v>Carica</v>
      </c>
      <c r="G29">
        <f>AVERAGE(I22:I26)</f>
        <v>4.8130038762195369E-19</v>
      </c>
      <c r="H29">
        <f>_xlfn.STDEV.S(I22:I26)</f>
        <v>9.7077151683880449E-21</v>
      </c>
      <c r="I29" s="2">
        <f>H29/SQRT(5)</f>
        <v>4.341422204544297E-21</v>
      </c>
      <c r="J29" t="s">
        <v>33</v>
      </c>
      <c r="K29">
        <f>AVERAGE(M22:M26)</f>
        <v>4.0068359162823854E-19</v>
      </c>
      <c r="L29">
        <f>_xlfn.STDEV.S(M22:M26)</f>
        <v>2.1051663713851064E-19</v>
      </c>
      <c r="M29" s="2">
        <f>L29/SQRT(5)</f>
        <v>9.4145902207273312E-20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3.0712791349418125E-9</v>
      </c>
      <c r="E33">
        <v>3.0246011932403454E-9</v>
      </c>
      <c r="F33">
        <v>3.1256689848116621E-9</v>
      </c>
      <c r="G33">
        <v>3.1281047440618489E-9</v>
      </c>
      <c r="H33">
        <v>3.0747356300807389E-9</v>
      </c>
    </row>
    <row r="34" spans="1:13" x14ac:dyDescent="0.25">
      <c r="C34" t="s">
        <v>21</v>
      </c>
      <c r="D34">
        <v>4.5196674315569819E-7</v>
      </c>
      <c r="E34">
        <v>4.5956630595240831E-7</v>
      </c>
      <c r="F34">
        <v>4.4339794512326137E-7</v>
      </c>
      <c r="G34">
        <v>4.4302117677651516E-7</v>
      </c>
      <c r="H34">
        <v>4.5141317232233861E-7</v>
      </c>
    </row>
    <row r="35" spans="1:13" x14ac:dyDescent="0.25">
      <c r="A35">
        <v>1</v>
      </c>
      <c r="B35" s="1">
        <f>E22</f>
        <v>3.0712791349418125E-9</v>
      </c>
      <c r="C35">
        <f>D22</f>
        <v>4.5196674315569819E-7</v>
      </c>
      <c r="D35">
        <f t="shared" ref="D35:H39" si="2">($C35-D$34)/SQRT($B35^2+D$33^2)</f>
        <v>0</v>
      </c>
      <c r="E35">
        <f t="shared" si="2"/>
        <v>-1.7630086432286274</v>
      </c>
      <c r="F35">
        <f t="shared" si="2"/>
        <v>1.9554211900566729</v>
      </c>
      <c r="G35">
        <f t="shared" si="2"/>
        <v>2.0405914685301632</v>
      </c>
      <c r="H35">
        <f t="shared" si="2"/>
        <v>0.12737803054433541</v>
      </c>
    </row>
    <row r="36" spans="1:13" x14ac:dyDescent="0.25">
      <c r="A36">
        <v>2</v>
      </c>
      <c r="B36">
        <f>E23</f>
        <v>3.0246011932403454E-9</v>
      </c>
      <c r="C36">
        <f>D23</f>
        <v>4.5956630595240831E-7</v>
      </c>
      <c r="D36">
        <f t="shared" si="2"/>
        <v>1.7630086432286274</v>
      </c>
      <c r="E36">
        <f t="shared" si="2"/>
        <v>0</v>
      </c>
      <c r="F36">
        <f t="shared" si="2"/>
        <v>3.7173047301848618</v>
      </c>
      <c r="G36">
        <f t="shared" si="2"/>
        <v>3.8023978733369828</v>
      </c>
      <c r="H36">
        <f t="shared" si="2"/>
        <v>1.8903502136381425</v>
      </c>
    </row>
    <row r="37" spans="1:13" x14ac:dyDescent="0.25">
      <c r="A37">
        <v>3</v>
      </c>
      <c r="B37">
        <f>E24</f>
        <v>3.1256689848116621E-9</v>
      </c>
      <c r="C37">
        <f>D24</f>
        <v>4.4339794512326137E-7</v>
      </c>
      <c r="D37">
        <f t="shared" si="2"/>
        <v>-1.9554211900566729</v>
      </c>
      <c r="E37">
        <f t="shared" si="2"/>
        <v>-3.7173047301848618</v>
      </c>
      <c r="F37">
        <f t="shared" si="2"/>
        <v>0</v>
      </c>
      <c r="G37">
        <f t="shared" si="2"/>
        <v>8.5201494094070046E-2</v>
      </c>
      <c r="H37">
        <f t="shared" si="2"/>
        <v>-1.8280840190294012</v>
      </c>
    </row>
    <row r="38" spans="1:13" x14ac:dyDescent="0.25">
      <c r="A38">
        <v>4</v>
      </c>
      <c r="B38">
        <f>E25</f>
        <v>3.1281047440618489E-9</v>
      </c>
      <c r="C38">
        <f>D25</f>
        <v>4.4302117677651516E-7</v>
      </c>
      <c r="D38">
        <f t="shared" si="2"/>
        <v>-2.0405914685301632</v>
      </c>
      <c r="E38">
        <f t="shared" si="2"/>
        <v>-3.8023978733369828</v>
      </c>
      <c r="F38">
        <f t="shared" si="2"/>
        <v>-8.5201494094070046E-2</v>
      </c>
      <c r="G38">
        <f t="shared" si="2"/>
        <v>0</v>
      </c>
      <c r="H38">
        <f t="shared" si="2"/>
        <v>-1.913258110342388</v>
      </c>
    </row>
    <row r="39" spans="1:13" x14ac:dyDescent="0.25">
      <c r="A39">
        <v>5</v>
      </c>
      <c r="B39">
        <f>E26</f>
        <v>3.0747356300807389E-9</v>
      </c>
      <c r="C39">
        <f>D26</f>
        <v>4.5141317232233861E-7</v>
      </c>
      <c r="D39">
        <f t="shared" si="2"/>
        <v>-0.12737803054433541</v>
      </c>
      <c r="E39">
        <f t="shared" si="2"/>
        <v>-1.8903502136381425</v>
      </c>
      <c r="F39">
        <f t="shared" si="2"/>
        <v>1.8280840190294012</v>
      </c>
      <c r="G39">
        <f t="shared" si="2"/>
        <v>1.913258110342388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9.7077151683880449E-21</v>
      </c>
      <c r="E42">
        <v>9.7077151683880449E-21</v>
      </c>
      <c r="F42">
        <v>9.7077151683880449E-21</v>
      </c>
      <c r="G42">
        <v>9.7077151683880449E-21</v>
      </c>
      <c r="H42">
        <v>9.7077151683880449E-21</v>
      </c>
      <c r="I42">
        <v>2.1051663713851064E-19</v>
      </c>
      <c r="J42">
        <v>2.1051663713851064E-19</v>
      </c>
      <c r="K42">
        <v>2.1051663713851064E-19</v>
      </c>
      <c r="L42">
        <v>2.1051663713851064E-19</v>
      </c>
      <c r="M42">
        <v>2.1051663713851064E-19</v>
      </c>
    </row>
    <row r="43" spans="1:13" x14ac:dyDescent="0.25">
      <c r="C43" t="s">
        <v>35</v>
      </c>
      <c r="D43">
        <v>4.7993579861731002E-19</v>
      </c>
      <c r="E43">
        <v>4.7834430275069622E-19</v>
      </c>
      <c r="F43">
        <v>4.6738667667443836E-19</v>
      </c>
      <c r="G43">
        <v>4.9222321662075574E-19</v>
      </c>
      <c r="H43">
        <v>4.8861194344656821E-19</v>
      </c>
      <c r="I43">
        <v>4.2660722875190391E-19</v>
      </c>
      <c r="J43">
        <v>5.4054141891243683E-19</v>
      </c>
      <c r="K43">
        <v>4.9241743947405406E-19</v>
      </c>
      <c r="L43">
        <v>5.1220140696165778E-19</v>
      </c>
      <c r="M43">
        <v>3.1650464041140368E-20</v>
      </c>
    </row>
    <row r="44" spans="1:13" x14ac:dyDescent="0.25">
      <c r="A44">
        <v>1</v>
      </c>
      <c r="B44">
        <f>$H$29</f>
        <v>9.7077151683880449E-21</v>
      </c>
      <c r="C44" s="1">
        <f>I22</f>
        <v>4.7993579861731002E-19</v>
      </c>
      <c r="D44">
        <f>($C44-D$43)/SQRT($B44^2+D$42^2)</f>
        <v>0</v>
      </c>
      <c r="E44">
        <f t="shared" ref="E44:M44" si="3">($C44-E$43)/SQRT($B44^2+E$42^2)</f>
        <v>0.1159240356760327</v>
      </c>
      <c r="F44">
        <f t="shared" si="3"/>
        <v>0.91407391644916791</v>
      </c>
      <c r="G44">
        <f t="shared" si="3"/>
        <v>-0.89501148754376314</v>
      </c>
      <c r="H44">
        <f t="shared" si="3"/>
        <v>-0.63196753684150075</v>
      </c>
      <c r="I44">
        <f t="shared" si="3"/>
        <v>0.25305343940580133</v>
      </c>
      <c r="J44">
        <f t="shared" si="3"/>
        <v>-0.28758432303193143</v>
      </c>
      <c r="K44">
        <f t="shared" si="3"/>
        <v>-5.9227580191981911E-2</v>
      </c>
      <c r="L44">
        <f t="shared" si="3"/>
        <v>-0.15310598402816453</v>
      </c>
      <c r="M44">
        <f t="shared" si="3"/>
        <v>2.1271927230748409</v>
      </c>
    </row>
    <row r="45" spans="1:13" x14ac:dyDescent="0.25">
      <c r="A45">
        <v>2</v>
      </c>
      <c r="B45">
        <f t="shared" ref="B45:B48" si="4">$H$29</f>
        <v>9.7077151683880449E-21</v>
      </c>
      <c r="C45" s="1">
        <f t="shared" ref="C45:C48" si="5">I23</f>
        <v>4.7834430275069622E-19</v>
      </c>
      <c r="D45">
        <f t="shared" ref="D45:M53" si="6">($C45-D$43)/SQRT($B45^2+D$42^2)</f>
        <v>-0.1159240356760327</v>
      </c>
      <c r="E45">
        <f t="shared" si="6"/>
        <v>0</v>
      </c>
      <c r="F45">
        <f t="shared" si="6"/>
        <v>0.7981498807731352</v>
      </c>
      <c r="G45">
        <f t="shared" si="6"/>
        <v>-1.0109355232197959</v>
      </c>
      <c r="H45">
        <f t="shared" si="6"/>
        <v>-0.74789157251753347</v>
      </c>
      <c r="I45">
        <f t="shared" si="6"/>
        <v>0.24550151172682586</v>
      </c>
      <c r="J45">
        <f t="shared" si="6"/>
        <v>-0.29513625071090688</v>
      </c>
      <c r="K45">
        <f t="shared" si="6"/>
        <v>-6.6779507870957405E-2</v>
      </c>
      <c r="L45">
        <f t="shared" si="6"/>
        <v>-0.16065791170714003</v>
      </c>
      <c r="M45">
        <f t="shared" si="6"/>
        <v>2.1196407953958656</v>
      </c>
    </row>
    <row r="46" spans="1:13" x14ac:dyDescent="0.25">
      <c r="A46">
        <v>3</v>
      </c>
      <c r="B46">
        <f t="shared" si="4"/>
        <v>9.7077151683880449E-21</v>
      </c>
      <c r="C46" s="1">
        <f t="shared" si="5"/>
        <v>4.6738667667443836E-19</v>
      </c>
      <c r="D46">
        <f t="shared" si="6"/>
        <v>-0.91407391644916791</v>
      </c>
      <c r="E46">
        <f t="shared" si="6"/>
        <v>-0.7981498807731352</v>
      </c>
      <c r="F46">
        <f t="shared" si="6"/>
        <v>0</v>
      </c>
      <c r="G46">
        <f t="shared" si="6"/>
        <v>-1.8090854039929309</v>
      </c>
      <c r="H46">
        <f t="shared" si="6"/>
        <v>-1.5460414532906686</v>
      </c>
      <c r="I46">
        <f t="shared" si="6"/>
        <v>0.19350564959667552</v>
      </c>
      <c r="J46">
        <f t="shared" si="6"/>
        <v>-0.34713211284105727</v>
      </c>
      <c r="K46">
        <f t="shared" si="6"/>
        <v>-0.11877537000110776</v>
      </c>
      <c r="L46">
        <f t="shared" si="6"/>
        <v>-0.21265377383729037</v>
      </c>
      <c r="M46">
        <f t="shared" si="6"/>
        <v>2.067644933265715</v>
      </c>
    </row>
    <row r="47" spans="1:13" x14ac:dyDescent="0.25">
      <c r="A47">
        <v>4</v>
      </c>
      <c r="B47">
        <f t="shared" si="4"/>
        <v>9.7077151683880449E-21</v>
      </c>
      <c r="C47" s="1">
        <f t="shared" si="5"/>
        <v>4.9222321662075574E-19</v>
      </c>
      <c r="D47">
        <f t="shared" si="6"/>
        <v>0.89501148754376314</v>
      </c>
      <c r="E47">
        <f t="shared" si="6"/>
        <v>1.0109355232197959</v>
      </c>
      <c r="F47">
        <f t="shared" si="6"/>
        <v>1.8090854039929309</v>
      </c>
      <c r="G47">
        <f t="shared" si="6"/>
        <v>0</v>
      </c>
      <c r="H47">
        <f t="shared" si="6"/>
        <v>0.26304395070226239</v>
      </c>
      <c r="I47">
        <f t="shared" si="6"/>
        <v>0.31135939801366069</v>
      </c>
      <c r="J47">
        <f t="shared" si="6"/>
        <v>-0.22927836442407207</v>
      </c>
      <c r="K47">
        <f t="shared" si="6"/>
        <v>-9.216215841225643E-4</v>
      </c>
      <c r="L47">
        <f t="shared" si="6"/>
        <v>-9.4800025420305176E-2</v>
      </c>
      <c r="M47">
        <f t="shared" si="6"/>
        <v>2.1854986816827005</v>
      </c>
    </row>
    <row r="48" spans="1:13" x14ac:dyDescent="0.25">
      <c r="A48">
        <v>5</v>
      </c>
      <c r="B48">
        <f t="shared" si="4"/>
        <v>9.7077151683880449E-21</v>
      </c>
      <c r="C48" s="1">
        <f t="shared" si="5"/>
        <v>4.8861194344656821E-19</v>
      </c>
      <c r="D48">
        <f t="shared" si="6"/>
        <v>0.63196753684150075</v>
      </c>
      <c r="E48">
        <f t="shared" si="6"/>
        <v>0.74789157251753347</v>
      </c>
      <c r="F48">
        <f t="shared" si="6"/>
        <v>1.5460414532906686</v>
      </c>
      <c r="G48">
        <f t="shared" si="6"/>
        <v>-0.26304395070226239</v>
      </c>
      <c r="H48">
        <f t="shared" si="6"/>
        <v>0</v>
      </c>
      <c r="I48">
        <f t="shared" si="6"/>
        <v>0.29422327192461545</v>
      </c>
      <c r="J48">
        <f t="shared" si="6"/>
        <v>-0.24641449051311734</v>
      </c>
      <c r="K48">
        <f t="shared" si="6"/>
        <v>-1.8057747673167843E-2</v>
      </c>
      <c r="L48">
        <f t="shared" si="6"/>
        <v>-0.11193615150935045</v>
      </c>
      <c r="M48">
        <f t="shared" si="6"/>
        <v>2.1683625555936552</v>
      </c>
    </row>
    <row r="49" spans="1:13" x14ac:dyDescent="0.25">
      <c r="A49">
        <v>6</v>
      </c>
      <c r="B49">
        <f>$L$29</f>
        <v>2.1051663713851064E-19</v>
      </c>
      <c r="C49" s="1">
        <f>M22</f>
        <v>4.2660722875190391E-19</v>
      </c>
      <c r="D49">
        <f t="shared" si="6"/>
        <v>-0.25305343940580133</v>
      </c>
      <c r="E49">
        <f t="shared" si="6"/>
        <v>-0.24550151172682586</v>
      </c>
      <c r="F49">
        <f t="shared" si="6"/>
        <v>-0.19350564959667552</v>
      </c>
      <c r="G49">
        <f t="shared" si="6"/>
        <v>-0.31135939801366069</v>
      </c>
      <c r="H49">
        <f t="shared" si="6"/>
        <v>-0.29422327192461545</v>
      </c>
      <c r="I49">
        <f t="shared" si="6"/>
        <v>0</v>
      </c>
      <c r="J49">
        <f t="shared" si="6"/>
        <v>-0.38269487659782031</v>
      </c>
      <c r="K49">
        <f t="shared" si="6"/>
        <v>-0.22105068229039843</v>
      </c>
      <c r="L49">
        <f t="shared" si="6"/>
        <v>-0.2875032808090342</v>
      </c>
      <c r="M49">
        <f t="shared" si="6"/>
        <v>1.3266248710724413</v>
      </c>
    </row>
    <row r="50" spans="1:13" x14ac:dyDescent="0.25">
      <c r="A50">
        <v>7</v>
      </c>
      <c r="B50">
        <f t="shared" ref="B50:B53" si="7">$L$29</f>
        <v>2.1051663713851064E-19</v>
      </c>
      <c r="C50" s="1">
        <f t="shared" ref="C50:C53" si="8">M23</f>
        <v>5.4054141891243683E-19</v>
      </c>
      <c r="D50">
        <f t="shared" si="6"/>
        <v>0.28758432303193143</v>
      </c>
      <c r="E50">
        <f t="shared" si="6"/>
        <v>0.29513625071090688</v>
      </c>
      <c r="F50">
        <f t="shared" si="6"/>
        <v>0.34713211284105727</v>
      </c>
      <c r="G50">
        <f t="shared" si="6"/>
        <v>0.22927836442407207</v>
      </c>
      <c r="H50">
        <f t="shared" si="6"/>
        <v>0.24641449051311734</v>
      </c>
      <c r="I50">
        <f t="shared" si="6"/>
        <v>0.38269487659782031</v>
      </c>
      <c r="J50">
        <f t="shared" si="6"/>
        <v>0</v>
      </c>
      <c r="K50">
        <f t="shared" si="6"/>
        <v>0.16164419430742188</v>
      </c>
      <c r="L50">
        <f t="shared" si="6"/>
        <v>9.5191595788786082E-2</v>
      </c>
      <c r="M50">
        <f t="shared" si="6"/>
        <v>1.7093197476702617</v>
      </c>
    </row>
    <row r="51" spans="1:13" x14ac:dyDescent="0.25">
      <c r="A51">
        <v>8</v>
      </c>
      <c r="B51">
        <f t="shared" si="7"/>
        <v>2.1051663713851064E-19</v>
      </c>
      <c r="C51" s="1">
        <f t="shared" si="8"/>
        <v>4.9241743947405406E-19</v>
      </c>
      <c r="D51">
        <f t="shared" si="6"/>
        <v>5.9227580191981911E-2</v>
      </c>
      <c r="E51">
        <f t="shared" si="6"/>
        <v>6.6779507870957405E-2</v>
      </c>
      <c r="F51">
        <f t="shared" si="6"/>
        <v>0.11877537000110776</v>
      </c>
      <c r="G51">
        <f t="shared" si="6"/>
        <v>9.216215841225643E-4</v>
      </c>
      <c r="H51">
        <f t="shared" si="6"/>
        <v>1.8057747673167843E-2</v>
      </c>
      <c r="I51">
        <f t="shared" si="6"/>
        <v>0.22105068229039843</v>
      </c>
      <c r="J51">
        <f t="shared" si="6"/>
        <v>-0.16164419430742188</v>
      </c>
      <c r="K51">
        <f t="shared" si="6"/>
        <v>0</v>
      </c>
      <c r="L51">
        <f t="shared" si="6"/>
        <v>-6.6452598518635789E-2</v>
      </c>
      <c r="M51">
        <f t="shared" si="6"/>
        <v>1.5476755533628399</v>
      </c>
    </row>
    <row r="52" spans="1:13" x14ac:dyDescent="0.25">
      <c r="A52">
        <v>9</v>
      </c>
      <c r="B52">
        <f t="shared" si="7"/>
        <v>2.1051663713851064E-19</v>
      </c>
      <c r="C52" s="1">
        <f t="shared" si="8"/>
        <v>5.1220140696165778E-19</v>
      </c>
      <c r="D52">
        <f t="shared" si="6"/>
        <v>0.15310598402816453</v>
      </c>
      <c r="E52">
        <f t="shared" si="6"/>
        <v>0.16065791170714003</v>
      </c>
      <c r="F52">
        <f t="shared" si="6"/>
        <v>0.21265377383729037</v>
      </c>
      <c r="G52">
        <f t="shared" si="6"/>
        <v>9.4800025420305176E-2</v>
      </c>
      <c r="H52">
        <f t="shared" si="6"/>
        <v>0.11193615150935045</v>
      </c>
      <c r="I52">
        <f t="shared" si="6"/>
        <v>0.2875032808090342</v>
      </c>
      <c r="J52">
        <f t="shared" si="6"/>
        <v>-9.5191595788786082E-2</v>
      </c>
      <c r="K52">
        <f t="shared" si="6"/>
        <v>6.6452598518635789E-2</v>
      </c>
      <c r="L52">
        <f t="shared" si="6"/>
        <v>0</v>
      </c>
      <c r="M52">
        <f t="shared" si="6"/>
        <v>1.6141281518814756</v>
      </c>
    </row>
    <row r="53" spans="1:13" x14ac:dyDescent="0.25">
      <c r="A53">
        <v>10</v>
      </c>
      <c r="B53">
        <f t="shared" si="7"/>
        <v>2.1051663713851064E-19</v>
      </c>
      <c r="C53" s="1">
        <f t="shared" si="8"/>
        <v>3.1650464041140368E-20</v>
      </c>
      <c r="D53">
        <f t="shared" si="6"/>
        <v>-2.1271927230748409</v>
      </c>
      <c r="E53">
        <f t="shared" si="6"/>
        <v>-2.1196407953958656</v>
      </c>
      <c r="F53">
        <f t="shared" si="6"/>
        <v>-2.067644933265715</v>
      </c>
      <c r="G53">
        <f t="shared" si="6"/>
        <v>-2.1854986816827005</v>
      </c>
      <c r="H53">
        <f t="shared" si="6"/>
        <v>-2.1683625555936552</v>
      </c>
      <c r="I53">
        <f t="shared" si="6"/>
        <v>-1.3266248710724413</v>
      </c>
      <c r="J53">
        <f t="shared" si="6"/>
        <v>-1.7093197476702617</v>
      </c>
      <c r="K53">
        <f t="shared" si="6"/>
        <v>-1.5476755533628399</v>
      </c>
      <c r="L53">
        <f t="shared" si="6"/>
        <v>-1.6141281518814756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8" priority="3" operator="greaterThan">
      <formula>1.96</formula>
    </cfRule>
  </conditionalFormatting>
  <conditionalFormatting sqref="D36:H39">
    <cfRule type="cellIs" dxfId="3" priority="2" operator="notBetween">
      <formula>-1.96</formula>
      <formula>1.96</formula>
    </cfRule>
  </conditionalFormatting>
  <conditionalFormatting sqref="D35:H35">
    <cfRule type="cellIs" dxfId="2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4" zoomScaleNormal="100" workbookViewId="0">
      <selection activeCell="M22" sqref="M22:M26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25">
      <c r="A13" t="s">
        <v>7</v>
      </c>
      <c r="B13">
        <f>((G29+K29)/2)/B11</f>
        <v>4.2887117019454442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1.8285900000000001E-5</v>
      </c>
    </row>
    <row r="17" spans="1:17" x14ac:dyDescent="0.25">
      <c r="A17" t="s">
        <v>23</v>
      </c>
      <c r="B17">
        <v>2.25</v>
      </c>
      <c r="D17" t="s">
        <v>1</v>
      </c>
      <c r="E17" s="2">
        <f>E16/(1+$B$10/($B$7*B29))</f>
        <v>1.5667832323062463E-5</v>
      </c>
    </row>
    <row r="18" spans="1:17" x14ac:dyDescent="0.25">
      <c r="A18" t="s">
        <v>24</v>
      </c>
      <c r="B18">
        <v>21</v>
      </c>
      <c r="D18" t="s">
        <v>32</v>
      </c>
      <c r="E18" s="1">
        <f>B16/B5</f>
        <v>26917.900403768504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1.0188385239409862E-4</v>
      </c>
      <c r="I19">
        <f>_xlfn.STDEV.S(H22:H26)</f>
        <v>3.9839155899836693E-6</v>
      </c>
      <c r="J19" s="1">
        <f>H19-2*I19</f>
        <v>9.3916021214131282E-5</v>
      </c>
      <c r="K19" s="1">
        <f>H19+2*I19</f>
        <v>1.0985168357406597E-4</v>
      </c>
      <c r="M19" t="s">
        <v>44</v>
      </c>
      <c r="N19" s="1">
        <f>AVERAGE(L22:L26)</f>
        <v>1.522177317605242E-4</v>
      </c>
      <c r="O19">
        <f>_xlfn.STDEV.S(L22:L26)</f>
        <v>9.2663357013669418E-6</v>
      </c>
      <c r="P19" s="1">
        <f>N19-2*O19</f>
        <v>1.336850603577903E-4</v>
      </c>
      <c r="Q19" s="1">
        <f>N19+2*O19</f>
        <v>1.707504031632581E-4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7" x14ac:dyDescent="0.25">
      <c r="A22">
        <v>1</v>
      </c>
      <c r="B22">
        <v>17.59</v>
      </c>
      <c r="C22" s="1">
        <f>B12/B22</f>
        <v>2.8425241614553725E-5</v>
      </c>
      <c r="D22">
        <f>(($B$10/(2*$B$7))^2+9*E16*C22/(2*$B$6*($B$9-$B$8)))^(1/2)-$B$10/(2*$B$7)</f>
        <v>4.8813475365042559E-7</v>
      </c>
      <c r="E22" s="1">
        <f>(D22+$B$10/(2*$B$7))^(-1)*9*E16/(2*$B$6*($B$9-$B$8))*1/2*C28</f>
        <v>7.9264116155301355E-9</v>
      </c>
      <c r="F22" s="1"/>
      <c r="G22">
        <f>AVERAGE(G23,B26)</f>
        <v>96.07050000000001</v>
      </c>
      <c r="H22" s="1">
        <f>$B$12/(G22-B26)</f>
        <v>1.0236462278636497E-4</v>
      </c>
      <c r="I22" s="1">
        <f>(4*PI()/3)*B29^3*($B$9-$B$8)*($B$6/E18)*(1+ABS(H22)/B28)</f>
        <v>7.0247010469112369E-19</v>
      </c>
      <c r="K22">
        <v>119.25700000000001</v>
      </c>
      <c r="L22" s="1">
        <f>B12/(K22-G26)</f>
        <v>1.4277555682467124E-4</v>
      </c>
      <c r="M22" s="1">
        <f>-(4*PI()/3)*B29^3*($B$9-$B$8)*($B$6/$E$18)*(1-ABS(L22)/B28)</f>
        <v>6.2331875622261242E-19</v>
      </c>
    </row>
    <row r="23" spans="1:17" x14ac:dyDescent="0.25">
      <c r="A23">
        <v>2</v>
      </c>
      <c r="B23">
        <v>37.033000000000001</v>
      </c>
      <c r="C23" s="1">
        <f>$B$12/(B23-B22)</f>
        <v>2.5716196060278763E-5</v>
      </c>
      <c r="D23">
        <f>(($B$10/(2*$B$7))^2+9*E16*C23/(2*$B$6*($B$9-$B$8)))^(1/2)-$B$10/(2*$B$7)</f>
        <v>4.6247049627136329E-7</v>
      </c>
      <c r="E23" s="1">
        <f>(D23+$B$10/(2*$B$7))^(-1)*9*E16/(2*$B$6*($B$9-$B$8))*1/2*C28</f>
        <v>8.3308887957222251E-9</v>
      </c>
      <c r="F23" s="1"/>
      <c r="G23">
        <v>100.955</v>
      </c>
      <c r="H23" s="1">
        <f>$B$12/(G23-G22)</f>
        <v>1.0236462278636527E-4</v>
      </c>
      <c r="I23" s="1">
        <f>(4*PI()/3)*B29^3*($B$9-$B$8)*($B$6/E18)*(1+ABS(H23)/B28)</f>
        <v>7.0247010469112532E-19</v>
      </c>
      <c r="K23">
        <v>122.625</v>
      </c>
      <c r="L23" s="1">
        <f>$B$12/(K23-K22)</f>
        <v>1.4845605700712611E-4</v>
      </c>
      <c r="M23" s="1">
        <f>-(4*PI()/3)*B29^3*($B$9-$B$8)*($B$6/$E$18)*(1-ABS(L23)/B28)</f>
        <v>6.5404054111428861E-19</v>
      </c>
    </row>
    <row r="24" spans="1:17" x14ac:dyDescent="0.25">
      <c r="A24">
        <v>3</v>
      </c>
      <c r="B24">
        <v>53.688000000000002</v>
      </c>
      <c r="C24" s="1">
        <f t="shared" ref="C24:C26" si="0">$B$12/(B24-B23)</f>
        <v>3.0021014710297206E-5</v>
      </c>
      <c r="D24">
        <f>(($B$10/(2*$B$7))^2+9*E16*C24/(2*$B$6*($B$9-$B$8)))^(1/2)-$B$10/(2*$B$7)</f>
        <v>5.0268512663737494E-7</v>
      </c>
      <c r="E24" s="1">
        <f>(D24+$B$10/(2*$B$7))^(-1)*9*E16/(2*$B$6*($B$9-$B$8))*1/2*C28</f>
        <v>7.7140716322488688E-9</v>
      </c>
      <c r="F24" s="1"/>
      <c r="G24">
        <v>105.765</v>
      </c>
      <c r="H24" s="1">
        <f>$B$12/(G24-G23)</f>
        <v>1.039501039501039E-4</v>
      </c>
      <c r="I24" s="1">
        <f>(4*PI()/3)*B29^3*($B$9-$B$8)*($B$6/E18)*(1+ABS(H24)/B28)</f>
        <v>7.1104484453756131E-19</v>
      </c>
      <c r="K24">
        <v>125.708</v>
      </c>
      <c r="L24" s="1">
        <f>$B$12/(K24-K23)</f>
        <v>1.6217969510217328E-4</v>
      </c>
      <c r="M24" s="1">
        <f>-(4*PI()/3)*B29^3*($B$9-$B$8)*($B$6/E18)*(1-ABS(L24)/B28)</f>
        <v>7.2826193781267714E-19</v>
      </c>
    </row>
    <row r="25" spans="1:17" x14ac:dyDescent="0.25">
      <c r="A25">
        <v>4</v>
      </c>
      <c r="B25">
        <v>71.561000000000007</v>
      </c>
      <c r="C25" s="1">
        <f t="shared" si="0"/>
        <v>2.797515805964303E-5</v>
      </c>
      <c r="D25">
        <f>(($B$10/(2*$B$7))^2+9*E16*C25/(2*$B$6*($B$9-$B$8)))^(1/2)-$B$10/(2*$B$7)</f>
        <v>4.8395787470270257E-7</v>
      </c>
      <c r="E25" s="1">
        <f>(D25+$B$10/(2*$B$7))^(-1)*9*E16/(2*$B$6*($B$9-$B$8))*1/2*C28</f>
        <v>7.9895433661802797E-9</v>
      </c>
      <c r="F25" s="1"/>
      <c r="G25">
        <v>110.501</v>
      </c>
      <c r="H25" s="1">
        <f>$B$12/(G25-G24)</f>
        <v>1.0557432432432424E-4</v>
      </c>
      <c r="I25" s="1">
        <f>(4*PI()/3)*B29^3*($B$9-$B$8)*($B$6/E18)*(1+ABS(H25)/B28)</f>
        <v>7.1982909721791441E-19</v>
      </c>
      <c r="K25">
        <v>128.79300000000001</v>
      </c>
      <c r="L25" s="1">
        <f t="shared" ref="L25:L26" si="1">$B$12/(K25-K24)</f>
        <v>1.6207455429497527E-4</v>
      </c>
      <c r="M25" s="1">
        <f>-(4*PI()/3)*B29^3*($B$9-$B$8)*($B$6/E18)*(1-ABS(L25)/B28)</f>
        <v>7.2769330597422547E-19</v>
      </c>
    </row>
    <row r="26" spans="1:17" x14ac:dyDescent="0.25">
      <c r="A26">
        <v>5</v>
      </c>
      <c r="B26">
        <v>91.186000000000007</v>
      </c>
      <c r="C26" s="1">
        <f t="shared" si="0"/>
        <v>2.5477707006369428E-5</v>
      </c>
      <c r="E26" s="1">
        <f>(D26+$B$10/(2*$B$7))^(-1)*9*E16/(2*$B$6*($B$9-$B$8))*1/2*C28</f>
        <v>1.0354649237847202E-7</v>
      </c>
      <c r="F26" s="1"/>
      <c r="G26">
        <v>115.755</v>
      </c>
      <c r="H26" s="1">
        <f>$B$12/(G26-G25)</f>
        <v>9.516558812333477E-5</v>
      </c>
      <c r="I26" s="1">
        <f>(4*PI()/3)*B29^3*($B$9-$B$8)*($B$6/E18)*(1+ABS(H26)/B28)</f>
        <v>6.635356469424128E-19</v>
      </c>
      <c r="K26">
        <v>132.227</v>
      </c>
      <c r="L26" s="1">
        <f t="shared" si="1"/>
        <v>1.4560279557367513E-4</v>
      </c>
      <c r="M26" s="1">
        <f>-(4*PI()/3)*B29^3*($B$9-$B$8)*($B$6/E18)*(1-ABS(L26)/B28)</f>
        <v>6.3860927957345811E-19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2.7523063490228429E-5</v>
      </c>
      <c r="C28" s="1">
        <f>_xlfn.STDEV.S(C22:C26)/SQRT(COUNT(C22:C26))</f>
        <v>8.5750592479076618E-7</v>
      </c>
      <c r="F28" t="str">
        <f>J28</f>
        <v>Velocità</v>
      </c>
      <c r="G28" s="1">
        <f>AVERAGE(H22:H26)</f>
        <v>1.0188385239409862E-4</v>
      </c>
      <c r="H28" s="1">
        <f>_xlfn.STDEV.S(H22:H26)</f>
        <v>3.9839155899836693E-6</v>
      </c>
      <c r="I28" s="2">
        <f>H28/SQRT(5)</f>
        <v>1.7816612151649328E-6</v>
      </c>
      <c r="J28" t="s">
        <v>27</v>
      </c>
      <c r="K28" s="1">
        <f>AVERAGE(L22:L26)</f>
        <v>1.522177317605242E-4</v>
      </c>
      <c r="L28" s="1">
        <f>_xlfn.STDEV.S(L22:L26)</f>
        <v>9.2663357013669418E-6</v>
      </c>
      <c r="M28" s="2">
        <f>L28/SQRT(5)</f>
        <v>4.1440313061179344E-6</v>
      </c>
    </row>
    <row r="29" spans="1:17" x14ac:dyDescent="0.25">
      <c r="A29" t="s">
        <v>5</v>
      </c>
      <c r="B29">
        <f>AVERAGE(D22:D26)</f>
        <v>4.8431206281546656E-7</v>
      </c>
      <c r="C29">
        <f>_xlfn.STDEV.S(D22:D26)/SQRT(COUNT(D22:D26))</f>
        <v>8.3134525406281157E-9</v>
      </c>
      <c r="D29" s="1">
        <f>(B29+$B$10/(2*$B$7))^(-1)*9*E16/(2*$B$6*($B$9-$B$8))*1/2*C28</f>
        <v>7.984150966879196E-9</v>
      </c>
      <c r="F29" t="str">
        <f>J29</f>
        <v>Carica</v>
      </c>
      <c r="G29">
        <f>AVERAGE(I22:I26)</f>
        <v>6.9986995961602745E-19</v>
      </c>
      <c r="H29">
        <f>_xlfn.STDEV.S(I22:I26)</f>
        <v>2.1546165628178947E-20</v>
      </c>
      <c r="I29" s="2">
        <f>H29/SQRT(5)</f>
        <v>9.6357381998155163E-21</v>
      </c>
      <c r="J29" t="s">
        <v>33</v>
      </c>
      <c r="K29">
        <f>AVERAGE(M22:M26)</f>
        <v>6.7438476413945233E-19</v>
      </c>
      <c r="L29">
        <f>_xlfn.STDEV.S(M22:M26)</f>
        <v>5.01150185736687E-20</v>
      </c>
      <c r="M29" s="2">
        <f>L29/SQRT(5)</f>
        <v>2.2412117644877551E-20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7.9264116155301355E-9</v>
      </c>
      <c r="E33">
        <v>8.3308887957222251E-9</v>
      </c>
      <c r="F33">
        <v>7.7140716322488688E-9</v>
      </c>
      <c r="G33">
        <v>7.9895433661802797E-9</v>
      </c>
      <c r="H33">
        <v>1.0354649237847202E-7</v>
      </c>
    </row>
    <row r="34" spans="1:13" x14ac:dyDescent="0.25">
      <c r="C34" t="s">
        <v>21</v>
      </c>
      <c r="D34">
        <v>4.8813475365042559E-7</v>
      </c>
      <c r="E34">
        <v>4.6247049627136329E-7</v>
      </c>
      <c r="F34">
        <v>5.0268512663737494E-7</v>
      </c>
      <c r="G34">
        <v>4.8395787470270257E-7</v>
      </c>
      <c r="H34">
        <v>0</v>
      </c>
    </row>
    <row r="35" spans="1:13" x14ac:dyDescent="0.25">
      <c r="A35">
        <v>1</v>
      </c>
      <c r="B35" s="1">
        <f>E22</f>
        <v>7.9264116155301355E-9</v>
      </c>
      <c r="C35">
        <f>D22</f>
        <v>4.8813475365042559E-7</v>
      </c>
      <c r="D35">
        <f t="shared" ref="D35:H39" si="2">($C35-D$34)/SQRT($B35^2+D$33^2)</f>
        <v>0</v>
      </c>
      <c r="E35">
        <f t="shared" si="2"/>
        <v>2.231828896064465</v>
      </c>
      <c r="F35">
        <f t="shared" si="2"/>
        <v>-1.3155244876418197</v>
      </c>
      <c r="G35">
        <f t="shared" si="2"/>
        <v>0.37113402206700591</v>
      </c>
      <c r="H35">
        <f t="shared" si="2"/>
        <v>4.700408603557559</v>
      </c>
    </row>
    <row r="36" spans="1:13" x14ac:dyDescent="0.25">
      <c r="A36">
        <v>2</v>
      </c>
      <c r="B36">
        <f>E23</f>
        <v>8.3308887957222251E-9</v>
      </c>
      <c r="C36">
        <f>D23</f>
        <v>4.6247049627136329E-7</v>
      </c>
      <c r="D36">
        <f t="shared" si="2"/>
        <v>-2.231828896064465</v>
      </c>
      <c r="E36">
        <f t="shared" si="2"/>
        <v>0</v>
      </c>
      <c r="F36">
        <f t="shared" si="2"/>
        <v>-3.5419281799804754</v>
      </c>
      <c r="G36">
        <f t="shared" si="2"/>
        <v>-1.8615375727353802</v>
      </c>
      <c r="H36">
        <f t="shared" si="2"/>
        <v>4.4519220884894599</v>
      </c>
    </row>
    <row r="37" spans="1:13" x14ac:dyDescent="0.25">
      <c r="A37">
        <v>3</v>
      </c>
      <c r="B37">
        <f>E24</f>
        <v>7.7140716322488688E-9</v>
      </c>
      <c r="C37">
        <f>D24</f>
        <v>5.0268512663737494E-7</v>
      </c>
      <c r="D37">
        <f t="shared" si="2"/>
        <v>1.3155244876418197</v>
      </c>
      <c r="E37">
        <f t="shared" si="2"/>
        <v>3.5419281799804754</v>
      </c>
      <c r="F37">
        <f t="shared" si="2"/>
        <v>0</v>
      </c>
      <c r="G37">
        <f t="shared" si="2"/>
        <v>1.6862524803276966</v>
      </c>
      <c r="H37">
        <f t="shared" si="2"/>
        <v>4.8412643662741752</v>
      </c>
    </row>
    <row r="38" spans="1:13" x14ac:dyDescent="0.25">
      <c r="A38">
        <v>4</v>
      </c>
      <c r="B38">
        <f>E25</f>
        <v>7.9895433661802797E-9</v>
      </c>
      <c r="C38">
        <f>D25</f>
        <v>4.8395787470270257E-7</v>
      </c>
      <c r="D38">
        <f t="shared" si="2"/>
        <v>-0.37113402206700591</v>
      </c>
      <c r="E38">
        <f t="shared" si="2"/>
        <v>1.8615375727353802</v>
      </c>
      <c r="F38">
        <f t="shared" si="2"/>
        <v>-1.6862524803276966</v>
      </c>
      <c r="G38">
        <f t="shared" si="2"/>
        <v>0</v>
      </c>
      <c r="H38">
        <f t="shared" si="2"/>
        <v>4.6599709973209906</v>
      </c>
    </row>
    <row r="39" spans="1:13" x14ac:dyDescent="0.25">
      <c r="A39">
        <v>5</v>
      </c>
      <c r="B39">
        <f>E26</f>
        <v>1.0354649237847202E-7</v>
      </c>
      <c r="C39">
        <f>D26</f>
        <v>0</v>
      </c>
      <c r="D39">
        <f t="shared" si="2"/>
        <v>-4.700408603557559</v>
      </c>
      <c r="E39">
        <f t="shared" si="2"/>
        <v>-4.4519220884894599</v>
      </c>
      <c r="F39">
        <f t="shared" si="2"/>
        <v>-4.8412643662741752</v>
      </c>
      <c r="G39">
        <f t="shared" si="2"/>
        <v>-4.6599709973209906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2.1546165628178947E-20</v>
      </c>
      <c r="E42">
        <v>2.1546165628178947E-20</v>
      </c>
      <c r="F42">
        <v>2.1546165628178947E-20</v>
      </c>
      <c r="G42">
        <v>2.1546165628178947E-20</v>
      </c>
      <c r="H42">
        <v>2.1546165628178947E-20</v>
      </c>
      <c r="I42">
        <v>5.01150185736687E-20</v>
      </c>
      <c r="J42">
        <v>5.01150185736687E-20</v>
      </c>
      <c r="K42">
        <v>5.01150185736687E-20</v>
      </c>
      <c r="L42">
        <v>5.01150185736687E-20</v>
      </c>
      <c r="M42">
        <v>5.01150185736687E-20</v>
      </c>
    </row>
    <row r="43" spans="1:13" x14ac:dyDescent="0.25">
      <c r="C43" t="s">
        <v>35</v>
      </c>
      <c r="D43">
        <v>7.0247010469112369E-19</v>
      </c>
      <c r="E43">
        <v>7.0247010469112532E-19</v>
      </c>
      <c r="F43">
        <v>7.1104484453756131E-19</v>
      </c>
      <c r="G43">
        <v>7.1982909721791441E-19</v>
      </c>
      <c r="H43">
        <v>6.635356469424128E-19</v>
      </c>
      <c r="I43">
        <v>6.2331875622261242E-19</v>
      </c>
      <c r="J43">
        <v>6.5404054111428861E-19</v>
      </c>
      <c r="K43">
        <v>7.2826193781267714E-19</v>
      </c>
      <c r="L43">
        <v>7.2769330597422547E-19</v>
      </c>
      <c r="M43">
        <v>6.3860927957345811E-19</v>
      </c>
    </row>
    <row r="44" spans="1:13" x14ac:dyDescent="0.25">
      <c r="A44">
        <v>1</v>
      </c>
      <c r="B44">
        <f>$H$29</f>
        <v>2.1546165628178947E-20</v>
      </c>
      <c r="C44" s="1">
        <f>I22</f>
        <v>7.0247010469112369E-19</v>
      </c>
      <c r="D44">
        <f>($C44-D$43)/SQRT($B44^2+D$42^2)</f>
        <v>0</v>
      </c>
      <c r="E44">
        <f t="shared" ref="E44:M44" si="3">($C44-E$43)/SQRT($B44^2+E$42^2)</f>
        <v>-5.3724752012839412E-14</v>
      </c>
      <c r="F44">
        <f t="shared" si="3"/>
        <v>-0.28140768974674402</v>
      </c>
      <c r="G44">
        <f t="shared" si="3"/>
        <v>-0.56969121755042207</v>
      </c>
      <c r="H44">
        <f t="shared" si="3"/>
        <v>1.2777595592196074</v>
      </c>
      <c r="I44">
        <f t="shared" si="3"/>
        <v>1.4509749885524044</v>
      </c>
      <c r="J44">
        <f t="shared" si="3"/>
        <v>0.88779391401590246</v>
      </c>
      <c r="K44">
        <f t="shared" si="3"/>
        <v>-0.47280691349408449</v>
      </c>
      <c r="L44">
        <f t="shared" si="3"/>
        <v>-0.4623829524213785</v>
      </c>
      <c r="M44">
        <f t="shared" si="3"/>
        <v>1.1706744330567529</v>
      </c>
    </row>
    <row r="45" spans="1:13" x14ac:dyDescent="0.25">
      <c r="A45">
        <v>2</v>
      </c>
      <c r="B45">
        <f t="shared" ref="B45:B48" si="4">$H$29</f>
        <v>2.1546165628178947E-20</v>
      </c>
      <c r="C45" s="1">
        <f t="shared" ref="C45:C48" si="5">I23</f>
        <v>7.0247010469112532E-19</v>
      </c>
      <c r="D45">
        <f t="shared" ref="D45:M53" si="6">($C45-D$43)/SQRT($B45^2+D$42^2)</f>
        <v>5.3724752012839412E-14</v>
      </c>
      <c r="E45">
        <f t="shared" si="6"/>
        <v>0</v>
      </c>
      <c r="F45">
        <f t="shared" si="6"/>
        <v>-0.28140768974669034</v>
      </c>
      <c r="G45">
        <f t="shared" si="6"/>
        <v>-0.56969121755036833</v>
      </c>
      <c r="H45">
        <f t="shared" si="6"/>
        <v>1.2777595592196611</v>
      </c>
      <c r="I45">
        <f t="shared" si="6"/>
        <v>1.4509749885524346</v>
      </c>
      <c r="J45">
        <f t="shared" si="6"/>
        <v>0.88779391401593244</v>
      </c>
      <c r="K45">
        <f t="shared" si="6"/>
        <v>-0.47280691349405446</v>
      </c>
      <c r="L45">
        <f t="shared" si="6"/>
        <v>-0.46238295242134853</v>
      </c>
      <c r="M45">
        <f t="shared" si="6"/>
        <v>1.1706744330567829</v>
      </c>
    </row>
    <row r="46" spans="1:13" x14ac:dyDescent="0.25">
      <c r="A46">
        <v>3</v>
      </c>
      <c r="B46">
        <f t="shared" si="4"/>
        <v>2.1546165628178947E-20</v>
      </c>
      <c r="C46" s="1">
        <f t="shared" si="5"/>
        <v>7.1104484453756131E-19</v>
      </c>
      <c r="D46">
        <f t="shared" si="6"/>
        <v>0.28140768974674402</v>
      </c>
      <c r="E46">
        <f t="shared" si="6"/>
        <v>0.28140768974669034</v>
      </c>
      <c r="F46">
        <f t="shared" si="6"/>
        <v>0</v>
      </c>
      <c r="G46">
        <f t="shared" si="6"/>
        <v>-0.28828352780367805</v>
      </c>
      <c r="H46">
        <f t="shared" si="6"/>
        <v>1.5591672489663515</v>
      </c>
      <c r="I46">
        <f t="shared" si="6"/>
        <v>1.6081641368266675</v>
      </c>
      <c r="J46">
        <f t="shared" si="6"/>
        <v>1.0449830622901655</v>
      </c>
      <c r="K46">
        <f t="shared" si="6"/>
        <v>-0.31561776521982143</v>
      </c>
      <c r="L46">
        <f t="shared" si="6"/>
        <v>-0.30519380414711544</v>
      </c>
      <c r="M46">
        <f t="shared" si="6"/>
        <v>1.327863581331016</v>
      </c>
    </row>
    <row r="47" spans="1:13" x14ac:dyDescent="0.25">
      <c r="A47">
        <v>4</v>
      </c>
      <c r="B47">
        <f t="shared" si="4"/>
        <v>2.1546165628178947E-20</v>
      </c>
      <c r="C47" s="1">
        <f t="shared" si="5"/>
        <v>7.1982909721791441E-19</v>
      </c>
      <c r="D47">
        <f t="shared" si="6"/>
        <v>0.56969121755042207</v>
      </c>
      <c r="E47">
        <f t="shared" si="6"/>
        <v>0.56969121755036833</v>
      </c>
      <c r="F47">
        <f t="shared" si="6"/>
        <v>0.28828352780367805</v>
      </c>
      <c r="G47">
        <f t="shared" si="6"/>
        <v>0</v>
      </c>
      <c r="H47">
        <f t="shared" si="6"/>
        <v>1.8474507767700297</v>
      </c>
      <c r="I47">
        <f t="shared" si="6"/>
        <v>1.7691940014964702</v>
      </c>
      <c r="J47">
        <f t="shared" si="6"/>
        <v>1.2060129269599682</v>
      </c>
      <c r="K47">
        <f t="shared" si="6"/>
        <v>-0.15458790055001884</v>
      </c>
      <c r="L47">
        <f t="shared" si="6"/>
        <v>-0.14416393947731287</v>
      </c>
      <c r="M47">
        <f t="shared" si="6"/>
        <v>1.4888934460008185</v>
      </c>
    </row>
    <row r="48" spans="1:13" x14ac:dyDescent="0.25">
      <c r="A48">
        <v>5</v>
      </c>
      <c r="B48">
        <f t="shared" si="4"/>
        <v>2.1546165628178947E-20</v>
      </c>
      <c r="C48" s="1">
        <f t="shared" si="5"/>
        <v>6.635356469424128E-19</v>
      </c>
      <c r="D48">
        <f t="shared" si="6"/>
        <v>-1.2777595592196074</v>
      </c>
      <c r="E48">
        <f t="shared" si="6"/>
        <v>-1.2777595592196611</v>
      </c>
      <c r="F48">
        <f t="shared" si="6"/>
        <v>-1.5591672489663515</v>
      </c>
      <c r="G48">
        <f t="shared" si="6"/>
        <v>-1.8474507767700297</v>
      </c>
      <c r="H48">
        <f t="shared" si="6"/>
        <v>0</v>
      </c>
      <c r="I48">
        <f t="shared" si="6"/>
        <v>0.73724205185197167</v>
      </c>
      <c r="J48">
        <f t="shared" si="6"/>
        <v>0.17406097731546968</v>
      </c>
      <c r="K48">
        <f t="shared" si="6"/>
        <v>-1.1865398501945172</v>
      </c>
      <c r="L48">
        <f t="shared" si="6"/>
        <v>-1.1761158891218113</v>
      </c>
      <c r="M48">
        <f t="shared" si="6"/>
        <v>0.45694149635632014</v>
      </c>
    </row>
    <row r="49" spans="1:13" x14ac:dyDescent="0.25">
      <c r="A49">
        <v>6</v>
      </c>
      <c r="B49">
        <f>$L$29</f>
        <v>5.01150185736687E-20</v>
      </c>
      <c r="C49" s="1">
        <f>M22</f>
        <v>6.2331875622261242E-19</v>
      </c>
      <c r="D49">
        <f t="shared" si="6"/>
        <v>-1.4509749885524044</v>
      </c>
      <c r="E49">
        <f t="shared" si="6"/>
        <v>-1.4509749885524346</v>
      </c>
      <c r="F49">
        <f t="shared" si="6"/>
        <v>-1.6081641368266675</v>
      </c>
      <c r="G49">
        <f t="shared" si="6"/>
        <v>-1.7691940014964702</v>
      </c>
      <c r="H49">
        <f t="shared" si="6"/>
        <v>-0.73724205185197167</v>
      </c>
      <c r="I49">
        <f t="shared" si="6"/>
        <v>0</v>
      </c>
      <c r="J49">
        <f t="shared" si="6"/>
        <v>-0.43347449617573525</v>
      </c>
      <c r="K49">
        <f t="shared" si="6"/>
        <v>-1.480714513405671</v>
      </c>
      <c r="L49">
        <f t="shared" si="6"/>
        <v>-1.4726913011948106</v>
      </c>
      <c r="M49">
        <f t="shared" si="6"/>
        <v>-0.21574436280774059</v>
      </c>
    </row>
    <row r="50" spans="1:13" x14ac:dyDescent="0.25">
      <c r="A50">
        <v>7</v>
      </c>
      <c r="B50">
        <f t="shared" ref="B50:B53" si="7">$L$29</f>
        <v>5.01150185736687E-20</v>
      </c>
      <c r="C50" s="1">
        <f t="shared" ref="C50:C53" si="8">M23</f>
        <v>6.5404054111428861E-19</v>
      </c>
      <c r="D50">
        <f t="shared" si="6"/>
        <v>-0.88779391401590246</v>
      </c>
      <c r="E50">
        <f t="shared" si="6"/>
        <v>-0.88779391401593244</v>
      </c>
      <c r="F50">
        <f t="shared" si="6"/>
        <v>-1.0449830622901655</v>
      </c>
      <c r="G50">
        <f t="shared" si="6"/>
        <v>-1.2060129269599682</v>
      </c>
      <c r="H50">
        <f t="shared" si="6"/>
        <v>-0.17406097731546968</v>
      </c>
      <c r="I50">
        <f t="shared" si="6"/>
        <v>0.43347449617573525</v>
      </c>
      <c r="J50">
        <f t="shared" si="6"/>
        <v>0</v>
      </c>
      <c r="K50">
        <f t="shared" si="6"/>
        <v>-1.0472400172299356</v>
      </c>
      <c r="L50">
        <f t="shared" si="6"/>
        <v>-1.0392168050190753</v>
      </c>
      <c r="M50">
        <f t="shared" si="6"/>
        <v>0.21773013336799468</v>
      </c>
    </row>
    <row r="51" spans="1:13" x14ac:dyDescent="0.25">
      <c r="A51">
        <v>8</v>
      </c>
      <c r="B51">
        <f t="shared" si="7"/>
        <v>5.01150185736687E-20</v>
      </c>
      <c r="C51" s="1">
        <f t="shared" si="8"/>
        <v>7.2826193781267714E-19</v>
      </c>
      <c r="D51">
        <f t="shared" si="6"/>
        <v>0.47280691349408449</v>
      </c>
      <c r="E51">
        <f t="shared" si="6"/>
        <v>0.47280691349405446</v>
      </c>
      <c r="F51">
        <f t="shared" si="6"/>
        <v>0.31561776521982143</v>
      </c>
      <c r="G51">
        <f t="shared" si="6"/>
        <v>0.15458790055001884</v>
      </c>
      <c r="H51">
        <f t="shared" si="6"/>
        <v>1.1865398501945172</v>
      </c>
      <c r="I51">
        <f t="shared" si="6"/>
        <v>1.480714513405671</v>
      </c>
      <c r="J51">
        <f t="shared" si="6"/>
        <v>1.0472400172299356</v>
      </c>
      <c r="K51">
        <f t="shared" si="6"/>
        <v>0</v>
      </c>
      <c r="L51">
        <f t="shared" si="6"/>
        <v>8.023212210860324E-3</v>
      </c>
      <c r="M51">
        <f t="shared" si="6"/>
        <v>1.2649701505979305</v>
      </c>
    </row>
    <row r="52" spans="1:13" x14ac:dyDescent="0.25">
      <c r="A52">
        <v>9</v>
      </c>
      <c r="B52">
        <f t="shared" si="7"/>
        <v>5.01150185736687E-20</v>
      </c>
      <c r="C52" s="1">
        <f t="shared" si="8"/>
        <v>7.2769330597422547E-19</v>
      </c>
      <c r="D52">
        <f t="shared" si="6"/>
        <v>0.4623829524213785</v>
      </c>
      <c r="E52">
        <f t="shared" si="6"/>
        <v>0.46238295242134853</v>
      </c>
      <c r="F52">
        <f t="shared" si="6"/>
        <v>0.30519380414711544</v>
      </c>
      <c r="G52">
        <f t="shared" si="6"/>
        <v>0.14416393947731287</v>
      </c>
      <c r="H52">
        <f t="shared" si="6"/>
        <v>1.1761158891218113</v>
      </c>
      <c r="I52">
        <f t="shared" si="6"/>
        <v>1.4726913011948106</v>
      </c>
      <c r="J52">
        <f t="shared" si="6"/>
        <v>1.0392168050190753</v>
      </c>
      <c r="K52">
        <f t="shared" si="6"/>
        <v>-8.023212210860324E-3</v>
      </c>
      <c r="L52">
        <f t="shared" si="6"/>
        <v>0</v>
      </c>
      <c r="M52">
        <f t="shared" si="6"/>
        <v>1.2569469383870702</v>
      </c>
    </row>
    <row r="53" spans="1:13" x14ac:dyDescent="0.25">
      <c r="A53">
        <v>10</v>
      </c>
      <c r="B53">
        <f t="shared" si="7"/>
        <v>5.01150185736687E-20</v>
      </c>
      <c r="C53" s="1">
        <f t="shared" si="8"/>
        <v>6.3860927957345811E-19</v>
      </c>
      <c r="D53">
        <f t="shared" si="6"/>
        <v>-1.1706744330567529</v>
      </c>
      <c r="E53">
        <f t="shared" si="6"/>
        <v>-1.1706744330567829</v>
      </c>
      <c r="F53">
        <f t="shared" si="6"/>
        <v>-1.327863581331016</v>
      </c>
      <c r="G53">
        <f t="shared" si="6"/>
        <v>-1.4888934460008185</v>
      </c>
      <c r="H53">
        <f t="shared" si="6"/>
        <v>-0.45694149635632014</v>
      </c>
      <c r="I53">
        <f t="shared" si="6"/>
        <v>0.21574436280774059</v>
      </c>
      <c r="J53">
        <f t="shared" si="6"/>
        <v>-0.21773013336799468</v>
      </c>
      <c r="K53">
        <f t="shared" si="6"/>
        <v>-1.2649701505979305</v>
      </c>
      <c r="L53">
        <f t="shared" si="6"/>
        <v>-1.2569469383870702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7" priority="3" operator="greaterThan">
      <formula>1.96</formula>
    </cfRule>
  </conditionalFormatting>
  <conditionalFormatting sqref="D36:H39">
    <cfRule type="cellIs" dxfId="1" priority="2" operator="notBetween">
      <formula>-1.96</formula>
      <formula>1.96</formula>
    </cfRule>
  </conditionalFormatting>
  <conditionalFormatting sqref="D35:H35">
    <cfRule type="cellIs" dxfId="0" priority="1" operator="notBetween">
      <formula>-1.96</formula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zoomScaleNormal="100" workbookViewId="0">
      <selection activeCell="E12" sqref="E11:E12"/>
    </sheetView>
  </sheetViews>
  <sheetFormatPr defaultRowHeight="15" x14ac:dyDescent="0.25"/>
  <cols>
    <col min="1" max="1" width="11.42578125" customWidth="1"/>
    <col min="2" max="2" width="10.140625" customWidth="1"/>
    <col min="3" max="4" width="13.28515625" customWidth="1"/>
    <col min="5" max="7" width="13.140625" customWidth="1"/>
    <col min="8" max="8" width="11.5703125" customWidth="1"/>
    <col min="9" max="9" width="9.28515625" customWidth="1"/>
  </cols>
  <sheetData>
    <row r="1" spans="1:5" x14ac:dyDescent="0.25">
      <c r="A1" s="9" t="str">
        <f>Dati!A1</f>
        <v>Costanti varie</v>
      </c>
      <c r="B1" s="9"/>
      <c r="C1" s="9"/>
    </row>
    <row r="2" spans="1:5" x14ac:dyDescent="0.25">
      <c r="A2" s="9"/>
      <c r="B2" s="9"/>
      <c r="C2" s="9"/>
    </row>
    <row r="4" spans="1:5" x14ac:dyDescent="0.25">
      <c r="B4" t="s">
        <v>12</v>
      </c>
      <c r="C4" t="s">
        <v>9</v>
      </c>
    </row>
    <row r="5" spans="1:5" x14ac:dyDescent="0.2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2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2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25">
      <c r="A8" t="str">
        <f>Dati!A8</f>
        <v>densità aria</v>
      </c>
      <c r="B8">
        <v>0</v>
      </c>
      <c r="C8">
        <f>Dati!C8</f>
        <v>0</v>
      </c>
    </row>
    <row r="9" spans="1:5" x14ac:dyDescent="0.25">
      <c r="A9" t="str">
        <f>Dati!A9</f>
        <v>densità olio</v>
      </c>
      <c r="B9">
        <v>858.7</v>
      </c>
      <c r="C9">
        <f>Dati!C9</f>
        <v>0</v>
      </c>
    </row>
    <row r="10" spans="1:5" x14ac:dyDescent="0.2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25">
      <c r="A11" t="str">
        <f>Dati!A11</f>
        <v>e</v>
      </c>
      <c r="B11">
        <f>Dati!B11</f>
        <v>1.6021766200000001E-19</v>
      </c>
      <c r="C11">
        <f>Dati!C11</f>
        <v>0</v>
      </c>
      <c r="E11">
        <f>B11*11</f>
        <v>1.7623942820000002E-18</v>
      </c>
    </row>
    <row r="12" spans="1:5" x14ac:dyDescent="0.25">
      <c r="A12" t="str">
        <f>Dati!A12</f>
        <v>deltax</v>
      </c>
      <c r="B12">
        <f>Dati!B12</f>
        <v>5.0000000000000001E-4</v>
      </c>
      <c r="C12">
        <f>Dati!C12</f>
        <v>0</v>
      </c>
      <c r="E12">
        <f>B11*12</f>
        <v>1.922611944E-18</v>
      </c>
    </row>
    <row r="13" spans="1:5" x14ac:dyDescent="0.25">
      <c r="A13" t="s">
        <v>7</v>
      </c>
      <c r="B13">
        <f>((G29+K29)/2)/B11</f>
        <v>1.4268013977818108</v>
      </c>
    </row>
    <row r="14" spans="1:5" x14ac:dyDescent="0.25">
      <c r="A14" s="9" t="s">
        <v>16</v>
      </c>
      <c r="B14" s="9"/>
      <c r="C14" s="9"/>
      <c r="D14" s="5"/>
    </row>
    <row r="15" spans="1:5" x14ac:dyDescent="0.25">
      <c r="A15" s="9"/>
      <c r="B15" s="9"/>
      <c r="C15" s="9"/>
      <c r="D15" s="5"/>
    </row>
    <row r="16" spans="1:5" x14ac:dyDescent="0.25">
      <c r="A16" t="s">
        <v>19</v>
      </c>
      <c r="B16">
        <v>301</v>
      </c>
      <c r="C16">
        <f>B16/100</f>
        <v>3.01</v>
      </c>
      <c r="D16" t="s">
        <v>0</v>
      </c>
      <c r="E16">
        <f>(1.8+(B18-15)*0.004765)*0.00001</f>
        <v>1.8309725000000004E-5</v>
      </c>
    </row>
    <row r="17" spans="1:17" x14ac:dyDescent="0.25">
      <c r="A17" t="s">
        <v>23</v>
      </c>
      <c r="B17">
        <v>2.25</v>
      </c>
      <c r="D17" t="s">
        <v>1</v>
      </c>
      <c r="E17" s="2">
        <f>E16/(1+$B$10/($B$7*B29))</f>
        <v>1.5984450829683055E-5</v>
      </c>
    </row>
    <row r="18" spans="1:17" x14ac:dyDescent="0.25">
      <c r="A18" t="s">
        <v>24</v>
      </c>
      <c r="B18">
        <v>21.5</v>
      </c>
      <c r="D18" t="s">
        <v>32</v>
      </c>
      <c r="E18" s="1">
        <f>B16/B5</f>
        <v>40511.440107671595</v>
      </c>
      <c r="H18" t="s">
        <v>20</v>
      </c>
      <c r="I18" t="s">
        <v>45</v>
      </c>
      <c r="J18" t="s">
        <v>43</v>
      </c>
      <c r="K18" t="s">
        <v>42</v>
      </c>
      <c r="N18" t="s">
        <v>20</v>
      </c>
      <c r="O18" t="s">
        <v>45</v>
      </c>
      <c r="P18" t="s">
        <v>43</v>
      </c>
      <c r="Q18" t="s">
        <v>42</v>
      </c>
    </row>
    <row r="19" spans="1:17" x14ac:dyDescent="0.25">
      <c r="G19" t="s">
        <v>44</v>
      </c>
      <c r="H19" s="1">
        <f>AVERAGE(H22:H26)</f>
        <v>4.2933793620529987E-5</v>
      </c>
      <c r="I19">
        <f>_xlfn.STDEV.S(H22:H26)</f>
        <v>3.9481568182747161E-6</v>
      </c>
      <c r="J19" s="1">
        <f>H19-2*I19</f>
        <v>3.5037479983980557E-5</v>
      </c>
      <c r="K19" s="1">
        <f>H19+2*I19</f>
        <v>5.0830107257079418E-5</v>
      </c>
      <c r="M19" t="s">
        <v>44</v>
      </c>
      <c r="N19" s="1">
        <f>AVERAGE(L22:L26)</f>
        <v>6.7771875008482607E-5</v>
      </c>
      <c r="O19">
        <f>_xlfn.STDEV.S(L22:L26)</f>
        <v>5.2035327839994636E-6</v>
      </c>
      <c r="P19" s="1">
        <f>N19-2*O19</f>
        <v>5.7364809440483677E-5</v>
      </c>
      <c r="Q19" s="1">
        <f>N19+2*O19</f>
        <v>7.8178940576481538E-5</v>
      </c>
    </row>
    <row r="20" spans="1:17" x14ac:dyDescent="0.25">
      <c r="A20" t="s">
        <v>7</v>
      </c>
      <c r="B20">
        <v>1</v>
      </c>
    </row>
    <row r="21" spans="1:17" x14ac:dyDescent="0.2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7" x14ac:dyDescent="0.25">
      <c r="A22">
        <v>1</v>
      </c>
      <c r="B22">
        <v>13.528</v>
      </c>
      <c r="C22" s="1">
        <f>B12/B22</f>
        <v>3.6960378474275573E-5</v>
      </c>
      <c r="D22">
        <f>(($B$10/(2*$B$7))^2+9*E16*C22/(2*$B$6*($B$9-$B$8)))^(1/2)-$B$10/(2*$B$7)</f>
        <v>5.6227552148155298E-7</v>
      </c>
      <c r="E22" s="1">
        <f>(D22+$B$10/(2*$B$7))^(-1)*9*E16/(2*$B$6*($B$9-$B$8))*1/2*C28</f>
        <v>1.2889492351045685E-8</v>
      </c>
      <c r="F22" s="1"/>
      <c r="G22">
        <v>80.088999999999999</v>
      </c>
      <c r="H22" s="1">
        <f>$B$12/(G22-B26)</f>
        <v>4.6694060515502437E-5</v>
      </c>
      <c r="I22" s="1">
        <f>(4*PI()/3)*B29^3*($B$9-$B$8)*($B$6/E18)*(1+ABS(H22)/B28)</f>
        <v>3.4274109983521402E-19</v>
      </c>
      <c r="K22">
        <v>136.30099999999999</v>
      </c>
      <c r="L22" s="1">
        <f>B12/(K22-G26)</f>
        <v>6.0510710395740214E-5</v>
      </c>
      <c r="M22" s="1">
        <f>-(4*PI()/3)*B29^3*($B$9-$B$8)*($B$6/$E$18)*(1-ABS(L22)/B28)</f>
        <v>9.9998293414512679E-20</v>
      </c>
    </row>
    <row r="23" spans="1:17" x14ac:dyDescent="0.25">
      <c r="A23">
        <v>2</v>
      </c>
      <c r="B23">
        <v>28.977</v>
      </c>
      <c r="C23" s="1">
        <f>$B$12/(B23-B22)</f>
        <v>3.2364554340086736E-5</v>
      </c>
      <c r="D23">
        <f>(($B$10/(2*$B$7))^2+9*E16*C23/(2*$B$6*($B$9-$B$8)))^(1/2)-$B$10/(2*$B$7)</f>
        <v>5.2373876891367134E-7</v>
      </c>
      <c r="E23" s="1">
        <f>(D23+$B$10/(2*$B$7))^(-1)*9*E16/(2*$B$6*($B$9-$B$8))*1/2*C28</f>
        <v>1.3769883822729369E-8</v>
      </c>
      <c r="F23" s="1"/>
      <c r="G23">
        <v>93.748000000000005</v>
      </c>
      <c r="H23" s="1">
        <f>$B$12/(G23-G22)</f>
        <v>3.6605900871220428E-5</v>
      </c>
      <c r="I23" s="1">
        <f>(4*PI()/3)*B29^3*($B$9-$B$8)*($B$6/E18)*(1+ABS(H23)/B28)</f>
        <v>3.0107853536209319E-19</v>
      </c>
      <c r="K23">
        <v>143.542</v>
      </c>
      <c r="L23" s="1">
        <f>$B$12/(K23-K22)</f>
        <v>6.9051236017124572E-5</v>
      </c>
      <c r="M23" s="1">
        <f>-(4*PI()/3)*B29^3*($B$9-$B$8)*($B$6/$E$18)*(1-ABS(L23)/B28)</f>
        <v>1.3526936483703381E-19</v>
      </c>
    </row>
    <row r="24" spans="1:17" x14ac:dyDescent="0.25">
      <c r="A24">
        <v>3</v>
      </c>
      <c r="B24">
        <v>40.915999999999997</v>
      </c>
      <c r="C24" s="1">
        <f t="shared" ref="C24:C26" si="0">$B$12/(B24-B23)</f>
        <v>4.1879554401541178E-5</v>
      </c>
      <c r="D24">
        <f>(($B$10/(2*$B$7))^2+9*E16*C24/(2*$B$6*($B$9-$B$8)))^(1/2)-$B$10/(2*$B$7)</f>
        <v>6.0096338912484971E-7</v>
      </c>
      <c r="E24" s="1">
        <f>(D24+$B$10/(2*$B$7))^(-1)*9*E16/(2*$B$6*($B$9-$B$8))*1/2*C28</f>
        <v>1.2112058932896126E-8</v>
      </c>
      <c r="F24" s="1"/>
      <c r="G24">
        <v>104.708</v>
      </c>
      <c r="H24" s="1">
        <f>$B$12/(G24-G23)</f>
        <v>4.5620437956204404E-5</v>
      </c>
      <c r="I24" s="1">
        <f>(4*PI()/3)*B29^3*($B$9-$B$8)*($B$6/E18)*(1+ABS(H24)/B28)</f>
        <v>3.3830720201105501E-19</v>
      </c>
      <c r="K24">
        <v>150.43700000000001</v>
      </c>
      <c r="L24" s="1">
        <f>$B$12/(K24-K23)</f>
        <v>7.2516316171138405E-5</v>
      </c>
      <c r="M24" s="1">
        <f>-(4*PI()/3)*B29^3*($B$9-$B$8)*($B$6/E18)*(1-ABS(L24)/B28)</f>
        <v>1.4957961868030626E-19</v>
      </c>
    </row>
    <row r="25" spans="1:17" x14ac:dyDescent="0.25">
      <c r="A25">
        <v>4</v>
      </c>
      <c r="B25">
        <v>55.386000000000003</v>
      </c>
      <c r="C25" s="1">
        <f t="shared" si="0"/>
        <v>3.455425017277124E-5</v>
      </c>
      <c r="D25">
        <f>(($B$10/(2*$B$7))^2+9*E16*C25/(2*$B$6*($B$9-$B$8)))^(1/2)-$B$10/(2*$B$7)</f>
        <v>5.4241759278075279E-7</v>
      </c>
      <c r="E25" s="1">
        <f>(D25+$B$10/(2*$B$7))^(-1)*9*E16/(2*$B$6*($B$9-$B$8))*1/2*C28</f>
        <v>1.3328618731785056E-8</v>
      </c>
      <c r="F25" s="1"/>
      <c r="G25">
        <v>116.18600000000001</v>
      </c>
      <c r="H25" s="1">
        <f>$B$12/(G25-G24)</f>
        <v>4.3561596096880961E-5</v>
      </c>
      <c r="I25" s="1">
        <f>(4*PI()/3)*B29^3*($B$9-$B$8)*($B$6/E18)*(1+ABS(H25)/B28)</f>
        <v>3.2980449837346524E-19</v>
      </c>
      <c r="K25">
        <v>157.352</v>
      </c>
      <c r="L25" s="1">
        <f t="shared" ref="L25:L26" si="1">$B$12/(K25-K24)</f>
        <v>7.2306579898770871E-5</v>
      </c>
      <c r="M25" s="1">
        <f>-(4*PI()/3)*B29^3*($B$9-$B$8)*($B$6/E18)*(1-ABS(L25)/B28)</f>
        <v>1.4871343978564362E-19</v>
      </c>
    </row>
    <row r="26" spans="1:17" x14ac:dyDescent="0.25">
      <c r="A26">
        <v>5</v>
      </c>
      <c r="B26">
        <v>69.381</v>
      </c>
      <c r="C26" s="1">
        <f t="shared" si="0"/>
        <v>3.5727045373347629E-5</v>
      </c>
      <c r="D26">
        <f>(($B$10/(2*$B$7))^2+9*E16*C26/(2*$B$6*($B$9-$B$8)))^(1/2)-$B$10/(2*$B$7)</f>
        <v>5.5217987210901539E-7</v>
      </c>
      <c r="E26" s="1">
        <f>(D26+$B$10/(2*$B$7))^(-1)*9*E16/(2*$B$6*($B$9-$B$8))*1/2*C28</f>
        <v>1.3109064059388412E-8</v>
      </c>
      <c r="F26" s="1"/>
      <c r="G26">
        <v>128.03800000000001</v>
      </c>
      <c r="H26" s="1">
        <f>$B$12/(G26-G25)</f>
        <v>4.21869726628417E-5</v>
      </c>
      <c r="I26" s="1">
        <f>(4*PI()/3)*B29^3*($B$9-$B$8)*($B$6/E18)*(1+ABS(H26)/B28)</f>
        <v>3.2412751273224528E-19</v>
      </c>
      <c r="K26">
        <v>165.107</v>
      </c>
      <c r="L26" s="1">
        <f t="shared" si="1"/>
        <v>6.4474532559638986E-5</v>
      </c>
      <c r="M26" s="1">
        <f>-(4*PI()/3)*B29^3*($B$9-$B$8)*($B$6/E18)*(1-ABS(L26)/B28)</f>
        <v>1.1636827587776813E-19</v>
      </c>
    </row>
    <row r="27" spans="1:17" x14ac:dyDescent="0.2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7" x14ac:dyDescent="0.25">
      <c r="A28" t="s">
        <v>27</v>
      </c>
      <c r="B28" s="1">
        <f>AVERAGE(C22:C26)</f>
        <v>3.6297156552404471E-5</v>
      </c>
      <c r="C28" s="1">
        <f>_xlfn.STDEV.S(C22:C26)/SQRT(COUNT(C22:C26))</f>
        <v>1.5879410982255398E-6</v>
      </c>
      <c r="F28" t="str">
        <f>J28</f>
        <v>Velocità</v>
      </c>
      <c r="G28" s="1">
        <f>AVERAGE(H22:H26)</f>
        <v>4.2933793620529987E-5</v>
      </c>
      <c r="H28" s="1">
        <f>_xlfn.STDEV.S(H22:H26)</f>
        <v>3.9481568182747161E-6</v>
      </c>
      <c r="I28" s="2">
        <f>H28/SQRT(5)</f>
        <v>1.7656694062983098E-6</v>
      </c>
      <c r="J28" t="s">
        <v>27</v>
      </c>
      <c r="K28" s="1">
        <f>AVERAGE(L22:L26)</f>
        <v>6.7771875008482607E-5</v>
      </c>
      <c r="L28" s="1">
        <f>_xlfn.STDEV.S(L22:L26)</f>
        <v>5.2035327839994636E-6</v>
      </c>
      <c r="M28" s="2">
        <f>L28/SQRT(5)</f>
        <v>2.327090605634306E-6</v>
      </c>
    </row>
    <row r="29" spans="1:17" x14ac:dyDescent="0.25">
      <c r="A29" t="s">
        <v>5</v>
      </c>
      <c r="B29">
        <f>AVERAGE(D22:D26)</f>
        <v>5.5631502888196857E-7</v>
      </c>
      <c r="C29">
        <f>_xlfn.STDEV.S(D22:D26)/SQRT(COUNT(D22:D26))</f>
        <v>1.2846117136423266E-8</v>
      </c>
      <c r="D29" s="1">
        <f>(B29+$B$10/(2*$B$7))^(-1)*9*E16/(2*$B$6*($B$9-$B$8))*1/2*C28</f>
        <v>1.3018229687407371E-8</v>
      </c>
      <c r="F29" t="str">
        <f>J29</f>
        <v>Carica</v>
      </c>
      <c r="G29">
        <f>AVERAGE(I22:I26)</f>
        <v>3.2721176966281453E-19</v>
      </c>
      <c r="H29">
        <f>_xlfn.STDEV.S(I22:I26)</f>
        <v>1.6305286969223923E-20</v>
      </c>
      <c r="I29" s="2">
        <f>H29/SQRT(5)</f>
        <v>7.2919460111652417E-21</v>
      </c>
      <c r="J29" t="s">
        <v>33</v>
      </c>
      <c r="K29">
        <f>AVERAGE(M22:M26)</f>
        <v>1.2998579851905289E-19</v>
      </c>
      <c r="L29">
        <f>_xlfn.STDEV.S(M22:M26)</f>
        <v>2.1489798709148499E-20</v>
      </c>
      <c r="M29" s="2">
        <f>L29/SQRT(5)</f>
        <v>9.6105301472886541E-21</v>
      </c>
    </row>
    <row r="32" spans="1:17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26</v>
      </c>
      <c r="D33">
        <f t="array" ref="D33:H34">TRANSPOSE(B35:C39)</f>
        <v>1.2889492351045685E-8</v>
      </c>
      <c r="E33">
        <v>1.3769883822729369E-8</v>
      </c>
      <c r="F33">
        <v>1.2112058932896126E-8</v>
      </c>
      <c r="G33">
        <v>1.3328618731785056E-8</v>
      </c>
      <c r="H33">
        <v>1.3109064059388412E-8</v>
      </c>
    </row>
    <row r="34" spans="1:13" x14ac:dyDescent="0.25">
      <c r="C34" t="s">
        <v>21</v>
      </c>
      <c r="D34">
        <v>5.6227552148155298E-7</v>
      </c>
      <c r="E34">
        <v>5.2373876891367134E-7</v>
      </c>
      <c r="F34">
        <v>6.0096338912484971E-7</v>
      </c>
      <c r="G34">
        <v>5.4241759278075279E-7</v>
      </c>
      <c r="H34">
        <v>5.5217987210901539E-7</v>
      </c>
    </row>
    <row r="35" spans="1:13" x14ac:dyDescent="0.25">
      <c r="A35">
        <v>1</v>
      </c>
      <c r="B35" s="1">
        <f>E22</f>
        <v>1.2889492351045685E-8</v>
      </c>
      <c r="C35">
        <f>D22</f>
        <v>5.6227552148155298E-7</v>
      </c>
      <c r="D35">
        <f t="shared" ref="D35:H39" si="2">($C35-D$34)/SQRT($B35^2+D$33^2)</f>
        <v>0</v>
      </c>
      <c r="E35">
        <f t="shared" si="2"/>
        <v>2.0431650235450673</v>
      </c>
      <c r="F35">
        <f t="shared" si="2"/>
        <v>-2.1873232602807486</v>
      </c>
      <c r="G35">
        <f t="shared" si="2"/>
        <v>1.0709930149233853</v>
      </c>
      <c r="H35">
        <f t="shared" si="2"/>
        <v>0.54914184014129852</v>
      </c>
    </row>
    <row r="36" spans="1:13" x14ac:dyDescent="0.25">
      <c r="A36">
        <v>2</v>
      </c>
      <c r="B36">
        <f>E23</f>
        <v>1.3769883822729369E-8</v>
      </c>
      <c r="C36">
        <f>D23</f>
        <v>5.2373876891367134E-7</v>
      </c>
      <c r="D36">
        <f t="shared" si="2"/>
        <v>-2.0431650235450673</v>
      </c>
      <c r="E36">
        <f t="shared" si="2"/>
        <v>0</v>
      </c>
      <c r="F36">
        <f t="shared" si="2"/>
        <v>-4.2109958265166378</v>
      </c>
      <c r="G36">
        <f t="shared" si="2"/>
        <v>-0.97467911623261316</v>
      </c>
      <c r="H36">
        <f t="shared" si="2"/>
        <v>-1.4959530428048327</v>
      </c>
    </row>
    <row r="37" spans="1:13" x14ac:dyDescent="0.25">
      <c r="A37">
        <v>3</v>
      </c>
      <c r="B37">
        <f>E24</f>
        <v>1.2112058932896126E-8</v>
      </c>
      <c r="C37">
        <f>D24</f>
        <v>6.0096338912484971E-7</v>
      </c>
      <c r="D37">
        <f t="shared" si="2"/>
        <v>2.1873232602807486</v>
      </c>
      <c r="E37">
        <f t="shared" si="2"/>
        <v>4.2109958265166378</v>
      </c>
      <c r="F37">
        <f t="shared" si="2"/>
        <v>0</v>
      </c>
      <c r="G37">
        <f t="shared" si="2"/>
        <v>3.2507685981729164</v>
      </c>
      <c r="H37">
        <f t="shared" si="2"/>
        <v>2.7332831341103754</v>
      </c>
    </row>
    <row r="38" spans="1:13" x14ac:dyDescent="0.25">
      <c r="A38">
        <v>4</v>
      </c>
      <c r="B38">
        <f>E25</f>
        <v>1.3328618731785056E-8</v>
      </c>
      <c r="C38">
        <f>D25</f>
        <v>5.4241759278075279E-7</v>
      </c>
      <c r="D38">
        <f t="shared" si="2"/>
        <v>-1.0709930149233853</v>
      </c>
      <c r="E38">
        <f t="shared" si="2"/>
        <v>0.97467911623261316</v>
      </c>
      <c r="F38">
        <f t="shared" si="2"/>
        <v>-3.2507685981729164</v>
      </c>
      <c r="G38">
        <f t="shared" si="2"/>
        <v>0</v>
      </c>
      <c r="H38">
        <f t="shared" si="2"/>
        <v>-0.52218917538946485</v>
      </c>
    </row>
    <row r="39" spans="1:13" x14ac:dyDescent="0.25">
      <c r="A39">
        <v>5</v>
      </c>
      <c r="B39">
        <f>E26</f>
        <v>1.3109064059388412E-8</v>
      </c>
      <c r="C39">
        <f>D26</f>
        <v>5.5217987210901539E-7</v>
      </c>
      <c r="D39">
        <f t="shared" si="2"/>
        <v>-0.54914184014129852</v>
      </c>
      <c r="E39">
        <f t="shared" si="2"/>
        <v>1.4959530428048327</v>
      </c>
      <c r="F39">
        <f t="shared" si="2"/>
        <v>-2.7332831341103754</v>
      </c>
      <c r="G39">
        <f t="shared" si="2"/>
        <v>0.52218917538946485</v>
      </c>
      <c r="H39">
        <f t="shared" si="2"/>
        <v>0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26</v>
      </c>
      <c r="D42">
        <v>1.6305286969223923E-20</v>
      </c>
      <c r="E42">
        <v>1.6305286969223923E-20</v>
      </c>
      <c r="F42">
        <v>1.6305286969223923E-20</v>
      </c>
      <c r="G42">
        <v>1.6305286969223923E-20</v>
      </c>
      <c r="H42">
        <v>1.6305286969223923E-20</v>
      </c>
      <c r="I42">
        <v>2.1489798709148499E-20</v>
      </c>
      <c r="J42">
        <v>2.1489798709148499E-20</v>
      </c>
      <c r="K42">
        <v>2.1489798709148499E-20</v>
      </c>
      <c r="L42">
        <v>2.1489798709148499E-20</v>
      </c>
      <c r="M42">
        <v>2.1489798709148499E-20</v>
      </c>
    </row>
    <row r="43" spans="1:13" x14ac:dyDescent="0.25">
      <c r="C43" t="s">
        <v>35</v>
      </c>
      <c r="D43">
        <v>3.4274109983521402E-19</v>
      </c>
      <c r="E43">
        <v>3.0107853536209319E-19</v>
      </c>
      <c r="F43">
        <v>3.3830720201105501E-19</v>
      </c>
      <c r="G43">
        <v>3.2980449837346524E-19</v>
      </c>
      <c r="H43">
        <v>3.2412751273224528E-19</v>
      </c>
      <c r="I43">
        <v>9.9998293414512679E-20</v>
      </c>
      <c r="J43">
        <v>1.3526936483703381E-19</v>
      </c>
      <c r="K43">
        <v>1.4957961868030626E-19</v>
      </c>
      <c r="L43">
        <v>1.4871343978564362E-19</v>
      </c>
      <c r="M43">
        <v>1.1636827587776813E-19</v>
      </c>
    </row>
    <row r="44" spans="1:13" x14ac:dyDescent="0.25">
      <c r="A44">
        <v>1</v>
      </c>
      <c r="B44">
        <f>$H$29</f>
        <v>1.6305286969223923E-20</v>
      </c>
      <c r="C44" s="1">
        <f>I22</f>
        <v>3.4274109983521402E-19</v>
      </c>
      <c r="D44">
        <f>($C44-D$43)/SQRT($B44^2+D$42^2)</f>
        <v>0</v>
      </c>
      <c r="E44">
        <f t="shared" ref="E44:M44" si="3">($C44-E$43)/SQRT($B44^2+E$42^2)</f>
        <v>1.8067686828309575</v>
      </c>
      <c r="F44">
        <f t="shared" si="3"/>
        <v>0.19228359638618145</v>
      </c>
      <c r="G44">
        <f t="shared" si="3"/>
        <v>0.56101794690129025</v>
      </c>
      <c r="H44">
        <f t="shared" si="3"/>
        <v>0.80721018204453732</v>
      </c>
      <c r="I44">
        <f t="shared" si="3"/>
        <v>8.9986630456834806</v>
      </c>
      <c r="J44">
        <f t="shared" si="3"/>
        <v>7.6911372257775099</v>
      </c>
      <c r="K44">
        <f t="shared" si="3"/>
        <v>7.1606450792435075</v>
      </c>
      <c r="L44">
        <f t="shared" si="3"/>
        <v>7.192754998895845</v>
      </c>
      <c r="M44">
        <f t="shared" si="3"/>
        <v>8.3918151706725865</v>
      </c>
    </row>
    <row r="45" spans="1:13" x14ac:dyDescent="0.25">
      <c r="A45">
        <v>2</v>
      </c>
      <c r="B45">
        <f t="shared" ref="B45:B48" si="4">$H$29</f>
        <v>1.6305286969223923E-20</v>
      </c>
      <c r="C45" s="1">
        <f t="shared" ref="C45:C48" si="5">I23</f>
        <v>3.0107853536209319E-19</v>
      </c>
      <c r="D45">
        <f t="shared" ref="D45:M53" si="6">($C45-D$43)/SQRT($B45^2+D$42^2)</f>
        <v>-1.8067686828309575</v>
      </c>
      <c r="E45">
        <f t="shared" si="6"/>
        <v>0</v>
      </c>
      <c r="F45">
        <f t="shared" si="6"/>
        <v>-1.614485086444776</v>
      </c>
      <c r="G45">
        <f t="shared" si="6"/>
        <v>-1.2457507359296671</v>
      </c>
      <c r="H45">
        <f t="shared" si="6"/>
        <v>-0.99955850078642017</v>
      </c>
      <c r="I45">
        <f t="shared" si="6"/>
        <v>7.4541996490507492</v>
      </c>
      <c r="J45">
        <f t="shared" si="6"/>
        <v>6.1466738291447793</v>
      </c>
      <c r="K45">
        <f t="shared" si="6"/>
        <v>5.6161816826107769</v>
      </c>
      <c r="L45">
        <f t="shared" si="6"/>
        <v>5.6482916022631144</v>
      </c>
      <c r="M45">
        <f t="shared" si="6"/>
        <v>6.8473517740398551</v>
      </c>
    </row>
    <row r="46" spans="1:13" x14ac:dyDescent="0.25">
      <c r="A46">
        <v>3</v>
      </c>
      <c r="B46">
        <f t="shared" si="4"/>
        <v>1.6305286969223923E-20</v>
      </c>
      <c r="C46" s="1">
        <f t="shared" si="5"/>
        <v>3.3830720201105501E-19</v>
      </c>
      <c r="D46">
        <f t="shared" si="6"/>
        <v>-0.19228359638618145</v>
      </c>
      <c r="E46">
        <f t="shared" si="6"/>
        <v>1.614485086444776</v>
      </c>
      <c r="F46">
        <f t="shared" si="6"/>
        <v>0</v>
      </c>
      <c r="G46">
        <f t="shared" si="6"/>
        <v>0.36873435051510878</v>
      </c>
      <c r="H46">
        <f t="shared" si="6"/>
        <v>0.6149265856583559</v>
      </c>
      <c r="I46">
        <f t="shared" si="6"/>
        <v>8.8342950337661819</v>
      </c>
      <c r="J46">
        <f t="shared" si="6"/>
        <v>7.5267692138602129</v>
      </c>
      <c r="K46">
        <f t="shared" si="6"/>
        <v>6.9962770673262096</v>
      </c>
      <c r="L46">
        <f t="shared" si="6"/>
        <v>7.0283869869785471</v>
      </c>
      <c r="M46">
        <f t="shared" si="6"/>
        <v>8.2274471587552878</v>
      </c>
    </row>
    <row r="47" spans="1:13" x14ac:dyDescent="0.25">
      <c r="A47">
        <v>4</v>
      </c>
      <c r="B47">
        <f t="shared" si="4"/>
        <v>1.6305286969223923E-20</v>
      </c>
      <c r="C47" s="1">
        <f t="shared" si="5"/>
        <v>3.2980449837346524E-19</v>
      </c>
      <c r="D47">
        <f t="shared" si="6"/>
        <v>-0.56101794690129025</v>
      </c>
      <c r="E47">
        <f t="shared" si="6"/>
        <v>1.2457507359296671</v>
      </c>
      <c r="F47">
        <f t="shared" si="6"/>
        <v>-0.36873435051510878</v>
      </c>
      <c r="G47">
        <f t="shared" si="6"/>
        <v>0</v>
      </c>
      <c r="H47">
        <f t="shared" si="6"/>
        <v>0.24619223514324706</v>
      </c>
      <c r="I47">
        <f t="shared" si="6"/>
        <v>8.5190932523408982</v>
      </c>
      <c r="J47">
        <f t="shared" si="6"/>
        <v>7.2115674324349301</v>
      </c>
      <c r="K47">
        <f t="shared" si="6"/>
        <v>6.6810752859009277</v>
      </c>
      <c r="L47">
        <f t="shared" si="6"/>
        <v>6.7131852055532653</v>
      </c>
      <c r="M47">
        <f t="shared" si="6"/>
        <v>7.9122453773300059</v>
      </c>
    </row>
    <row r="48" spans="1:13" x14ac:dyDescent="0.25">
      <c r="A48">
        <v>5</v>
      </c>
      <c r="B48">
        <f t="shared" si="4"/>
        <v>1.6305286969223923E-20</v>
      </c>
      <c r="C48" s="1">
        <f t="shared" si="5"/>
        <v>3.2412751273224528E-19</v>
      </c>
      <c r="D48">
        <f t="shared" si="6"/>
        <v>-0.80721018204453732</v>
      </c>
      <c r="E48">
        <f t="shared" si="6"/>
        <v>0.99955850078642017</v>
      </c>
      <c r="F48">
        <f t="shared" si="6"/>
        <v>-0.6149265856583559</v>
      </c>
      <c r="G48">
        <f t="shared" si="6"/>
        <v>-0.24619223514324706</v>
      </c>
      <c r="H48">
        <f t="shared" si="6"/>
        <v>0</v>
      </c>
      <c r="I48">
        <f t="shared" si="6"/>
        <v>8.3086430163327325</v>
      </c>
      <c r="J48">
        <f t="shared" si="6"/>
        <v>7.0011171964267618</v>
      </c>
      <c r="K48">
        <f t="shared" si="6"/>
        <v>6.4706250498927584</v>
      </c>
      <c r="L48">
        <f t="shared" si="6"/>
        <v>6.502734969545096</v>
      </c>
      <c r="M48">
        <f t="shared" si="6"/>
        <v>7.7017951413218366</v>
      </c>
    </row>
    <row r="49" spans="1:13" x14ac:dyDescent="0.25">
      <c r="A49">
        <v>6</v>
      </c>
      <c r="B49">
        <f>$L$29</f>
        <v>2.1489798709148499E-20</v>
      </c>
      <c r="C49" s="1">
        <f>M22</f>
        <v>9.9998293414512679E-20</v>
      </c>
      <c r="D49">
        <f t="shared" si="6"/>
        <v>-8.9986630456834806</v>
      </c>
      <c r="E49">
        <f t="shared" si="6"/>
        <v>-7.4541996490507492</v>
      </c>
      <c r="F49">
        <f t="shared" si="6"/>
        <v>-8.8342950337661819</v>
      </c>
      <c r="G49">
        <f t="shared" si="6"/>
        <v>-8.5190932523408982</v>
      </c>
      <c r="H49">
        <f t="shared" si="6"/>
        <v>-8.3086430163327325</v>
      </c>
      <c r="I49">
        <f t="shared" si="6"/>
        <v>0</v>
      </c>
      <c r="J49">
        <f t="shared" si="6"/>
        <v>-1.1605699113394798</v>
      </c>
      <c r="K49">
        <f t="shared" si="6"/>
        <v>-1.6314387952239557</v>
      </c>
      <c r="L49">
        <f t="shared" si="6"/>
        <v>-1.6029377851202231</v>
      </c>
      <c r="M49">
        <f t="shared" si="6"/>
        <v>-0.53864281207738907</v>
      </c>
    </row>
    <row r="50" spans="1:13" x14ac:dyDescent="0.25">
      <c r="A50">
        <v>7</v>
      </c>
      <c r="B50">
        <f t="shared" ref="B50:B53" si="7">$L$29</f>
        <v>2.1489798709148499E-20</v>
      </c>
      <c r="C50" s="1">
        <f t="shared" ref="C50:C53" si="8">M23</f>
        <v>1.3526936483703381E-19</v>
      </c>
      <c r="D50">
        <f t="shared" si="6"/>
        <v>-7.6911372257775099</v>
      </c>
      <c r="E50">
        <f t="shared" si="6"/>
        <v>-6.1466738291447793</v>
      </c>
      <c r="F50">
        <f t="shared" si="6"/>
        <v>-7.5267692138602129</v>
      </c>
      <c r="G50">
        <f t="shared" si="6"/>
        <v>-7.2115674324349301</v>
      </c>
      <c r="H50">
        <f t="shared" si="6"/>
        <v>-7.0011171964267618</v>
      </c>
      <c r="I50">
        <f t="shared" si="6"/>
        <v>1.1605699113394798</v>
      </c>
      <c r="J50">
        <f t="shared" si="6"/>
        <v>0</v>
      </c>
      <c r="K50">
        <f t="shared" si="6"/>
        <v>-0.47086888388447595</v>
      </c>
      <c r="L50">
        <f t="shared" si="6"/>
        <v>-0.44236787378074333</v>
      </c>
      <c r="M50">
        <f t="shared" si="6"/>
        <v>0.62192709926209067</v>
      </c>
    </row>
    <row r="51" spans="1:13" x14ac:dyDescent="0.25">
      <c r="A51">
        <v>8</v>
      </c>
      <c r="B51">
        <f t="shared" si="7"/>
        <v>2.1489798709148499E-20</v>
      </c>
      <c r="C51" s="1">
        <f t="shared" si="8"/>
        <v>1.4957961868030626E-19</v>
      </c>
      <c r="D51">
        <f t="shared" si="6"/>
        <v>-7.1606450792435075</v>
      </c>
      <c r="E51">
        <f t="shared" si="6"/>
        <v>-5.6161816826107769</v>
      </c>
      <c r="F51">
        <f t="shared" si="6"/>
        <v>-6.9962770673262096</v>
      </c>
      <c r="G51">
        <f t="shared" si="6"/>
        <v>-6.6810752859009277</v>
      </c>
      <c r="H51">
        <f t="shared" si="6"/>
        <v>-6.4706250498927584</v>
      </c>
      <c r="I51">
        <f t="shared" si="6"/>
        <v>1.6314387952239557</v>
      </c>
      <c r="J51">
        <f t="shared" si="6"/>
        <v>0.47086888388447595</v>
      </c>
      <c r="K51">
        <f t="shared" si="6"/>
        <v>0</v>
      </c>
      <c r="L51">
        <f t="shared" si="6"/>
        <v>2.8501010103732623E-2</v>
      </c>
      <c r="M51">
        <f t="shared" si="6"/>
        <v>1.0927959831465666</v>
      </c>
    </row>
    <row r="52" spans="1:13" x14ac:dyDescent="0.25">
      <c r="A52">
        <v>9</v>
      </c>
      <c r="B52">
        <f t="shared" si="7"/>
        <v>2.1489798709148499E-20</v>
      </c>
      <c r="C52" s="1">
        <f t="shared" si="8"/>
        <v>1.4871343978564362E-19</v>
      </c>
      <c r="D52">
        <f t="shared" si="6"/>
        <v>-7.192754998895845</v>
      </c>
      <c r="E52">
        <f t="shared" si="6"/>
        <v>-5.6482916022631144</v>
      </c>
      <c r="F52">
        <f t="shared" si="6"/>
        <v>-7.0283869869785471</v>
      </c>
      <c r="G52">
        <f t="shared" si="6"/>
        <v>-6.7131852055532653</v>
      </c>
      <c r="H52">
        <f t="shared" si="6"/>
        <v>-6.502734969545096</v>
      </c>
      <c r="I52">
        <f t="shared" si="6"/>
        <v>1.6029377851202231</v>
      </c>
      <c r="J52">
        <f t="shared" si="6"/>
        <v>0.44236787378074333</v>
      </c>
      <c r="K52">
        <f t="shared" si="6"/>
        <v>-2.8501010103732623E-2</v>
      </c>
      <c r="L52">
        <f t="shared" si="6"/>
        <v>0</v>
      </c>
      <c r="M52">
        <f t="shared" si="6"/>
        <v>1.0642949730428339</v>
      </c>
    </row>
    <row r="53" spans="1:13" x14ac:dyDescent="0.25">
      <c r="A53">
        <v>10</v>
      </c>
      <c r="B53">
        <f t="shared" si="7"/>
        <v>2.1489798709148499E-20</v>
      </c>
      <c r="C53" s="1">
        <f t="shared" si="8"/>
        <v>1.1636827587776813E-19</v>
      </c>
      <c r="D53">
        <f t="shared" si="6"/>
        <v>-8.3918151706725865</v>
      </c>
      <c r="E53">
        <f t="shared" si="6"/>
        <v>-6.8473517740398551</v>
      </c>
      <c r="F53">
        <f t="shared" si="6"/>
        <v>-8.2274471587552878</v>
      </c>
      <c r="G53">
        <f t="shared" si="6"/>
        <v>-7.9122453773300059</v>
      </c>
      <c r="H53">
        <f t="shared" si="6"/>
        <v>-7.7017951413218366</v>
      </c>
      <c r="I53">
        <f t="shared" si="6"/>
        <v>0.53864281207738907</v>
      </c>
      <c r="J53">
        <f t="shared" si="6"/>
        <v>-0.62192709926209067</v>
      </c>
      <c r="K53">
        <f t="shared" si="6"/>
        <v>-1.0927959831465666</v>
      </c>
      <c r="L53">
        <f t="shared" si="6"/>
        <v>-1.0642949730428339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6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27"/>
  <sheetViews>
    <sheetView tabSelected="1" topLeftCell="B76" zoomScale="115" zoomScaleNormal="115" workbookViewId="0">
      <selection activeCell="P5" sqref="P5:P104"/>
    </sheetView>
  </sheetViews>
  <sheetFormatPr defaultRowHeight="15" x14ac:dyDescent="0.25"/>
  <cols>
    <col min="3" max="4" width="12" bestFit="1" customWidth="1"/>
    <col min="6" max="6" width="12" bestFit="1" customWidth="1"/>
    <col min="11" max="11" width="10.28515625" bestFit="1" customWidth="1"/>
    <col min="16" max="17" width="13.140625" bestFit="1" customWidth="1"/>
    <col min="19" max="19" width="13.140625" bestFit="1" customWidth="1"/>
    <col min="24" max="24" width="13.140625" bestFit="1" customWidth="1"/>
  </cols>
  <sheetData>
    <row r="3" spans="1:24" x14ac:dyDescent="0.25">
      <c r="A3" s="1"/>
      <c r="B3">
        <v>1.1231599999999999</v>
      </c>
      <c r="C3" s="27">
        <f>B3*0.0000000000000000001</f>
        <v>1.1231599999999999E-19</v>
      </c>
      <c r="O3">
        <v>1.8278399999999999</v>
      </c>
      <c r="P3">
        <f>O3*0.0000000000000000001</f>
        <v>1.8278399999999999E-19</v>
      </c>
    </row>
    <row r="4" spans="1:24" x14ac:dyDescent="0.25">
      <c r="A4" s="1"/>
    </row>
    <row r="5" spans="1:24" x14ac:dyDescent="0.25">
      <c r="A5" s="1"/>
      <c r="C5" s="1">
        <v>7.7499999999999996E-18</v>
      </c>
      <c r="D5">
        <f>(C5/INT(C5/$C$3+0.5)-$C$3)^2</f>
        <v>8.0688930897928682E-48</v>
      </c>
      <c r="F5">
        <f>SUM(D5:D127)</f>
        <v>2.4483611309486055E-39</v>
      </c>
      <c r="I5" s="1">
        <f>C5/(INT(C5/$C$3+0.5))</f>
        <v>1.1231884057971015E-19</v>
      </c>
      <c r="K5" s="1">
        <f>AVERAGE(I5:I127)</f>
        <v>1.1218438909872874E-19</v>
      </c>
      <c r="P5" s="1">
        <v>7.7499999999999996E-18</v>
      </c>
      <c r="Q5">
        <f>(P5/INT(P5/$P$3+0.5)-$C$3)^2</f>
        <v>5.2139677562267564E-39</v>
      </c>
      <c r="S5">
        <f>SUM(Q5:Q127)</f>
        <v>4.9658229310532205E-37</v>
      </c>
      <c r="V5" s="1">
        <f>P5/(INT(P5/$P$3+0.5))</f>
        <v>1.845238095238095E-19</v>
      </c>
      <c r="X5" s="1">
        <f>AVERAGE(V5:V127)</f>
        <v>1.825331892007635E-19</v>
      </c>
    </row>
    <row r="6" spans="1:24" x14ac:dyDescent="0.25">
      <c r="A6" s="1"/>
      <c r="C6" s="1">
        <v>8.1700000000000004E-18</v>
      </c>
      <c r="D6">
        <f t="shared" ref="D6:D69" si="0">(C6/INT(C6/$C$3+0.5)-$C$3)^2</f>
        <v>1.5855669431410608E-43</v>
      </c>
      <c r="I6" s="1">
        <f t="shared" ref="I6:I69" si="1">C6/(INT(C6/$C$3+0.5))</f>
        <v>1.119178082191781E-19</v>
      </c>
      <c r="P6" s="1">
        <v>8.1700000000000004E-18</v>
      </c>
      <c r="Q6">
        <f t="shared" ref="Q6:Q69" si="2">(P6/INT(P6/$P$3+0.5)-$C$3)^2</f>
        <v>4.7941160535308666E-39</v>
      </c>
      <c r="V6" s="1">
        <f t="shared" ref="V6:V69" si="3">P6/(INT(P6/$P$3+0.5))</f>
        <v>1.8155555555555556E-19</v>
      </c>
    </row>
    <row r="7" spans="1:24" x14ac:dyDescent="0.25">
      <c r="A7" s="1"/>
      <c r="C7" s="1">
        <v>7.6199999999999995E-18</v>
      </c>
      <c r="D7">
        <f t="shared" si="0"/>
        <v>6.6139737024222091E-44</v>
      </c>
      <c r="F7">
        <f>SQRT(F5/(COUNT(D5:D127)*(COUNT(D5:D127)-1)))</f>
        <v>4.0392921641275834E-22</v>
      </c>
      <c r="I7" s="1">
        <f t="shared" si="1"/>
        <v>1.1205882352941175E-19</v>
      </c>
      <c r="P7" s="1">
        <v>7.6199999999999995E-18</v>
      </c>
      <c r="Q7">
        <f t="shared" si="2"/>
        <v>4.7765475294693893E-39</v>
      </c>
      <c r="S7">
        <f>SQRT(S5/(COUNT(Q5:Q127)*(COUNT(Q5:Q127)-1)))</f>
        <v>7.082360311816688E-21</v>
      </c>
      <c r="V7" s="1">
        <f t="shared" si="3"/>
        <v>1.8142857142857143E-19</v>
      </c>
    </row>
    <row r="8" spans="1:24" x14ac:dyDescent="0.25">
      <c r="A8" s="6"/>
      <c r="C8" s="1">
        <v>7.6199999999999995E-18</v>
      </c>
      <c r="D8">
        <f t="shared" si="0"/>
        <v>6.6139737024222091E-44</v>
      </c>
      <c r="I8" s="1">
        <f t="shared" si="1"/>
        <v>1.1205882352941175E-19</v>
      </c>
      <c r="P8" s="1">
        <v>7.6199999999999995E-18</v>
      </c>
      <c r="Q8">
        <f t="shared" si="2"/>
        <v>4.7765475294693893E-39</v>
      </c>
      <c r="V8" s="1">
        <f t="shared" si="3"/>
        <v>1.8142857142857143E-19</v>
      </c>
    </row>
    <row r="9" spans="1:24" x14ac:dyDescent="0.25">
      <c r="A9" s="6"/>
      <c r="C9" s="1">
        <v>5.2399999999999999E-18</v>
      </c>
      <c r="D9">
        <f t="shared" si="0"/>
        <v>6.833308755092785E-43</v>
      </c>
      <c r="I9" s="1">
        <f t="shared" si="1"/>
        <v>1.1148936170212765E-19</v>
      </c>
      <c r="P9" s="1">
        <v>5.2399999999999999E-18</v>
      </c>
      <c r="Q9">
        <f t="shared" si="2"/>
        <v>4.6749567216361485E-39</v>
      </c>
      <c r="S9">
        <f>P3-1.96*S7</f>
        <v>1.6890257378883928E-19</v>
      </c>
      <c r="V9" s="1">
        <f t="shared" si="3"/>
        <v>1.8068965517241379E-19</v>
      </c>
    </row>
    <row r="10" spans="1:24" x14ac:dyDescent="0.25">
      <c r="A10" s="6"/>
      <c r="C10" s="1">
        <v>5.6999999999999997E-18</v>
      </c>
      <c r="D10">
        <f t="shared" si="0"/>
        <v>3.0392520415223782E-43</v>
      </c>
      <c r="I10" s="1">
        <f t="shared" si="1"/>
        <v>1.1176470588235294E-19</v>
      </c>
      <c r="P10" s="1">
        <v>5.6999999999999997E-18</v>
      </c>
      <c r="Q10">
        <f t="shared" si="2"/>
        <v>5.1201134085494297E-39</v>
      </c>
      <c r="V10" s="1">
        <f t="shared" si="3"/>
        <v>1.8387096774193549E-19</v>
      </c>
    </row>
    <row r="11" spans="1:24" x14ac:dyDescent="0.25">
      <c r="A11" s="6"/>
      <c r="C11" s="1">
        <v>4.7600000000000001E-18</v>
      </c>
      <c r="D11">
        <f t="shared" si="0"/>
        <v>1.034967111111138E-42</v>
      </c>
      <c r="I11" s="1">
        <f t="shared" si="1"/>
        <v>1.1333333333333333E-19</v>
      </c>
      <c r="P11" s="1">
        <v>4.7600000000000001E-18</v>
      </c>
      <c r="Q11">
        <f t="shared" si="2"/>
        <v>5.0071082346982274E-39</v>
      </c>
      <c r="V11" s="1">
        <f t="shared" si="3"/>
        <v>1.8307692307692308E-19</v>
      </c>
    </row>
    <row r="12" spans="1:24" x14ac:dyDescent="0.25">
      <c r="A12" s="6"/>
      <c r="C12" s="1">
        <v>5.4700000000000002E-18</v>
      </c>
      <c r="D12">
        <f t="shared" si="0"/>
        <v>4.6696303873383516E-43</v>
      </c>
      <c r="I12" s="1">
        <f t="shared" si="1"/>
        <v>1.1163265306122449E-19</v>
      </c>
      <c r="P12" s="1">
        <v>5.4700000000000002E-18</v>
      </c>
      <c r="Q12">
        <f t="shared" si="2"/>
        <v>4.9024269671111135E-39</v>
      </c>
      <c r="V12" s="1">
        <f t="shared" si="3"/>
        <v>1.8233333333333334E-19</v>
      </c>
    </row>
    <row r="13" spans="1:24" x14ac:dyDescent="0.25">
      <c r="C13" s="1">
        <v>4.9499999999999999E-18</v>
      </c>
      <c r="D13">
        <f t="shared" si="0"/>
        <v>3.3856000000006503E-44</v>
      </c>
      <c r="I13" s="1">
        <f t="shared" si="1"/>
        <v>1.125E-19</v>
      </c>
      <c r="P13" s="1">
        <v>4.9499999999999999E-18</v>
      </c>
      <c r="Q13">
        <f t="shared" si="2"/>
        <v>5.0434616337777778E-39</v>
      </c>
      <c r="V13" s="1">
        <f t="shared" si="3"/>
        <v>1.8333333333333332E-19</v>
      </c>
    </row>
    <row r="14" spans="1:24" x14ac:dyDescent="0.25">
      <c r="C14" s="1">
        <v>3.9900000000000003E-18</v>
      </c>
      <c r="D14">
        <f t="shared" si="0"/>
        <v>2.1983004444443658E-42</v>
      </c>
      <c r="I14" s="1">
        <f t="shared" si="1"/>
        <v>1.1083333333333335E-19</v>
      </c>
      <c r="P14" s="1">
        <v>3.9900000000000003E-18</v>
      </c>
      <c r="Q14">
        <f t="shared" si="2"/>
        <v>4.767576087404963E-39</v>
      </c>
      <c r="V14" s="1">
        <f t="shared" si="3"/>
        <v>1.8136363636363638E-19</v>
      </c>
    </row>
    <row r="15" spans="1:24" x14ac:dyDescent="0.25">
      <c r="C15" s="1">
        <v>3.6799999999999997E-18</v>
      </c>
      <c r="D15">
        <f t="shared" si="0"/>
        <v>6.4135829568410175E-43</v>
      </c>
      <c r="I15" s="1">
        <f t="shared" si="1"/>
        <v>1.1151515151515151E-19</v>
      </c>
      <c r="P15" s="1">
        <v>3.6799999999999997E-18</v>
      </c>
      <c r="Q15">
        <f t="shared" si="2"/>
        <v>5.1385958560000012E-39</v>
      </c>
      <c r="V15" s="1">
        <f t="shared" si="3"/>
        <v>1.8399999999999999E-19</v>
      </c>
    </row>
    <row r="16" spans="1:24" x14ac:dyDescent="0.25">
      <c r="C16" s="1">
        <v>4.1300000000000004E-18</v>
      </c>
      <c r="D16">
        <f t="shared" si="0"/>
        <v>4.8216133235933645E-43</v>
      </c>
      <c r="I16" s="1">
        <f t="shared" si="1"/>
        <v>1.1162162162162164E-19</v>
      </c>
      <c r="P16" s="1">
        <v>4.1300000000000004E-18</v>
      </c>
      <c r="Q16">
        <f t="shared" si="2"/>
        <v>4.5224572397429141E-39</v>
      </c>
      <c r="V16" s="1">
        <f t="shared" si="3"/>
        <v>1.7956521739130436E-19</v>
      </c>
    </row>
    <row r="17" spans="3:22" x14ac:dyDescent="0.25">
      <c r="C17" s="1">
        <v>3.9900000000000003E-18</v>
      </c>
      <c r="D17">
        <f t="shared" si="0"/>
        <v>2.1983004444443658E-42</v>
      </c>
      <c r="I17" s="1">
        <f t="shared" si="1"/>
        <v>1.1083333333333335E-19</v>
      </c>
      <c r="P17" s="1">
        <v>3.9900000000000003E-18</v>
      </c>
      <c r="Q17">
        <f t="shared" si="2"/>
        <v>4.767576087404963E-39</v>
      </c>
      <c r="V17" s="1">
        <f t="shared" si="3"/>
        <v>1.8136363636363638E-19</v>
      </c>
    </row>
    <row r="18" spans="3:22" x14ac:dyDescent="0.25">
      <c r="C18" s="1">
        <v>4.1700000000000002E-18</v>
      </c>
      <c r="D18">
        <f t="shared" si="0"/>
        <v>1.4953898027758668E-43</v>
      </c>
      <c r="I18" s="1">
        <f t="shared" si="1"/>
        <v>1.127027027027027E-19</v>
      </c>
      <c r="P18" s="1">
        <v>4.1700000000000002E-18</v>
      </c>
      <c r="Q18">
        <f t="shared" si="2"/>
        <v>4.7593921357731588E-39</v>
      </c>
      <c r="V18" s="1">
        <f t="shared" si="3"/>
        <v>1.8130434782608695E-19</v>
      </c>
    </row>
    <row r="19" spans="3:22" x14ac:dyDescent="0.25">
      <c r="C19" s="1">
        <v>2.8399999999999999E-18</v>
      </c>
      <c r="D19">
        <f t="shared" si="0"/>
        <v>1.6486560000000154E-42</v>
      </c>
      <c r="I19" s="1">
        <f t="shared" si="1"/>
        <v>1.1359999999999999E-19</v>
      </c>
      <c r="P19" s="1">
        <v>2.8399999999999999E-18</v>
      </c>
      <c r="Q19">
        <f t="shared" si="2"/>
        <v>4.2489538560000013E-39</v>
      </c>
      <c r="V19" s="1">
        <f t="shared" si="3"/>
        <v>1.7749999999999999E-19</v>
      </c>
    </row>
    <row r="20" spans="3:22" x14ac:dyDescent="0.25">
      <c r="C20" s="1">
        <v>3.5800000000000002E-18</v>
      </c>
      <c r="D20">
        <f t="shared" si="0"/>
        <v>1.9448099999998147E-43</v>
      </c>
      <c r="I20" s="1">
        <f t="shared" si="1"/>
        <v>1.1187500000000001E-19</v>
      </c>
      <c r="P20" s="1">
        <v>3.5800000000000002E-18</v>
      </c>
      <c r="Q20">
        <f t="shared" si="2"/>
        <v>4.4467558560000048E-39</v>
      </c>
      <c r="V20" s="1">
        <f t="shared" si="3"/>
        <v>1.7900000000000002E-19</v>
      </c>
    </row>
    <row r="21" spans="3:22" x14ac:dyDescent="0.25">
      <c r="C21" s="1">
        <v>3.5800000000000002E-18</v>
      </c>
      <c r="D21">
        <f t="shared" si="0"/>
        <v>1.9448099999998147E-43</v>
      </c>
      <c r="I21" s="1">
        <f t="shared" si="1"/>
        <v>1.1187500000000001E-19</v>
      </c>
      <c r="P21" s="1">
        <v>3.5800000000000002E-18</v>
      </c>
      <c r="Q21">
        <f t="shared" si="2"/>
        <v>4.4467558560000048E-39</v>
      </c>
      <c r="V21" s="1">
        <f t="shared" si="3"/>
        <v>1.7900000000000002E-19</v>
      </c>
    </row>
    <row r="22" spans="3:22" x14ac:dyDescent="0.25">
      <c r="C22" s="1">
        <v>3.6899999999999996E-18</v>
      </c>
      <c r="D22">
        <f t="shared" si="0"/>
        <v>2.4782294214874783E-43</v>
      </c>
      <c r="I22" s="1">
        <f t="shared" si="1"/>
        <v>1.1181818181818182E-19</v>
      </c>
      <c r="P22" s="1">
        <v>3.6899999999999996E-18</v>
      </c>
      <c r="Q22">
        <f t="shared" si="2"/>
        <v>5.210529856E-39</v>
      </c>
      <c r="V22" s="1">
        <f t="shared" si="3"/>
        <v>1.8449999999999999E-19</v>
      </c>
    </row>
    <row r="23" spans="3:22" x14ac:dyDescent="0.25">
      <c r="C23" s="1">
        <v>3.6899999999999996E-18</v>
      </c>
      <c r="D23">
        <f t="shared" si="0"/>
        <v>2.4782294214874783E-43</v>
      </c>
      <c r="I23" s="1">
        <f t="shared" si="1"/>
        <v>1.1181818181818182E-19</v>
      </c>
      <c r="P23" s="1">
        <v>3.6899999999999996E-18</v>
      </c>
      <c r="Q23">
        <f t="shared" si="2"/>
        <v>5.210529856E-39</v>
      </c>
      <c r="V23" s="1">
        <f t="shared" si="3"/>
        <v>1.8449999999999999E-19</v>
      </c>
    </row>
    <row r="24" spans="3:22" x14ac:dyDescent="0.25">
      <c r="C24" s="1">
        <v>3.5800000000000002E-18</v>
      </c>
      <c r="D24">
        <f t="shared" si="0"/>
        <v>1.9448099999998147E-43</v>
      </c>
      <c r="I24" s="1">
        <f t="shared" si="1"/>
        <v>1.1187500000000001E-19</v>
      </c>
      <c r="P24" s="1">
        <v>3.5800000000000002E-18</v>
      </c>
      <c r="Q24">
        <f t="shared" si="2"/>
        <v>4.4467558560000048E-39</v>
      </c>
      <c r="V24" s="1">
        <f t="shared" si="3"/>
        <v>1.7900000000000002E-19</v>
      </c>
    </row>
    <row r="25" spans="3:22" x14ac:dyDescent="0.25">
      <c r="C25" s="1">
        <v>7.2700000000000006E-18</v>
      </c>
      <c r="D25">
        <f t="shared" si="0"/>
        <v>2.2075540828399094E-43</v>
      </c>
      <c r="I25" s="1">
        <f t="shared" si="1"/>
        <v>1.1184615384615387E-19</v>
      </c>
      <c r="P25" s="1">
        <v>7.2700000000000006E-18</v>
      </c>
      <c r="Q25">
        <f t="shared" si="2"/>
        <v>4.8210803560000039E-39</v>
      </c>
      <c r="V25" s="1">
        <f t="shared" si="3"/>
        <v>1.8175000000000002E-19</v>
      </c>
    </row>
    <row r="26" spans="3:22" x14ac:dyDescent="0.25">
      <c r="C26" s="1">
        <v>7.3199999999999996E-18</v>
      </c>
      <c r="D26">
        <f t="shared" si="0"/>
        <v>8.9631147929000297E-44</v>
      </c>
      <c r="I26" s="1">
        <f t="shared" si="1"/>
        <v>1.1261538461538461E-19</v>
      </c>
      <c r="P26" s="1">
        <v>7.3199999999999996E-18</v>
      </c>
      <c r="Q26">
        <f t="shared" si="2"/>
        <v>4.9962278559999998E-39</v>
      </c>
      <c r="V26" s="1">
        <f t="shared" si="3"/>
        <v>1.8299999999999998E-19</v>
      </c>
    </row>
    <row r="27" spans="3:22" x14ac:dyDescent="0.25">
      <c r="C27" s="1">
        <v>5.9799999999999998E-18</v>
      </c>
      <c r="D27">
        <f t="shared" si="0"/>
        <v>2.6438999786401741E-43</v>
      </c>
      <c r="I27" s="1">
        <f t="shared" si="1"/>
        <v>1.1283018867924528E-19</v>
      </c>
      <c r="P27" s="1">
        <v>5.9799999999999998E-18</v>
      </c>
      <c r="Q27">
        <f t="shared" si="2"/>
        <v>4.7466755180753006E-39</v>
      </c>
      <c r="V27" s="1">
        <f t="shared" si="3"/>
        <v>1.8121212121212121E-19</v>
      </c>
    </row>
    <row r="28" spans="3:22" x14ac:dyDescent="0.25">
      <c r="C28" s="1">
        <v>6.7099999999999997E-18</v>
      </c>
      <c r="D28">
        <f t="shared" si="0"/>
        <v>2.3296711111109992E-43</v>
      </c>
      <c r="I28" s="1">
        <f t="shared" si="1"/>
        <v>1.1183333333333333E-19</v>
      </c>
      <c r="P28" s="1">
        <v>6.7099999999999997E-18</v>
      </c>
      <c r="Q28">
        <f t="shared" si="2"/>
        <v>4.7658797362045307E-39</v>
      </c>
      <c r="V28" s="1">
        <f t="shared" si="3"/>
        <v>1.8135135135135135E-19</v>
      </c>
    </row>
    <row r="29" spans="3:22" x14ac:dyDescent="0.25">
      <c r="C29" s="1">
        <v>6.3899999999999999E-18</v>
      </c>
      <c r="D29">
        <f t="shared" si="0"/>
        <v>4.4410016620491888E-44</v>
      </c>
      <c r="I29" s="1">
        <f t="shared" si="1"/>
        <v>1.1210526315789474E-19</v>
      </c>
      <c r="P29" s="1">
        <v>6.3899999999999999E-18</v>
      </c>
      <c r="Q29">
        <f t="shared" si="2"/>
        <v>4.9358252437551041E-39</v>
      </c>
      <c r="V29" s="1">
        <f t="shared" si="3"/>
        <v>1.8257142857142857E-19</v>
      </c>
    </row>
    <row r="30" spans="3:22" x14ac:dyDescent="0.25">
      <c r="C30" s="1">
        <v>6.1299999999999997E-18</v>
      </c>
      <c r="D30">
        <f t="shared" si="0"/>
        <v>7.4210393388427783E-43</v>
      </c>
      <c r="I30" s="1">
        <f t="shared" si="1"/>
        <v>1.1145454545454545E-19</v>
      </c>
      <c r="P30" s="1">
        <v>6.1299999999999997E-18</v>
      </c>
      <c r="Q30">
        <f t="shared" si="2"/>
        <v>4.6210244788373716E-39</v>
      </c>
      <c r="V30" s="1">
        <f t="shared" si="3"/>
        <v>1.8029411764705882E-19</v>
      </c>
    </row>
    <row r="31" spans="3:22" x14ac:dyDescent="0.25">
      <c r="C31" s="1">
        <v>6.1299999999999997E-18</v>
      </c>
      <c r="D31">
        <f t="shared" si="0"/>
        <v>7.4210393388427783E-43</v>
      </c>
      <c r="I31" s="1">
        <f t="shared" si="1"/>
        <v>1.1145454545454545E-19</v>
      </c>
      <c r="P31" s="1">
        <v>6.1299999999999997E-18</v>
      </c>
      <c r="Q31">
        <f t="shared" si="2"/>
        <v>4.6210244788373716E-39</v>
      </c>
      <c r="V31" s="1">
        <f t="shared" si="3"/>
        <v>1.8029411764705882E-19</v>
      </c>
    </row>
    <row r="32" spans="3:22" x14ac:dyDescent="0.25">
      <c r="C32" s="1">
        <v>6.3899999999999999E-18</v>
      </c>
      <c r="D32">
        <f t="shared" si="0"/>
        <v>4.4410016620491888E-44</v>
      </c>
      <c r="I32" s="1">
        <f t="shared" si="1"/>
        <v>1.1210526315789474E-19</v>
      </c>
      <c r="P32" s="1">
        <v>6.3899999999999999E-18</v>
      </c>
      <c r="Q32">
        <f t="shared" si="2"/>
        <v>4.9358252437551041E-39</v>
      </c>
      <c r="V32" s="1">
        <f t="shared" si="3"/>
        <v>1.8257142857142857E-19</v>
      </c>
    </row>
    <row r="33" spans="3:22" x14ac:dyDescent="0.25">
      <c r="C33" s="1">
        <v>1.74E-18</v>
      </c>
      <c r="D33">
        <f t="shared" si="0"/>
        <v>1.3571856000000098E-41</v>
      </c>
      <c r="I33" s="1">
        <f t="shared" si="1"/>
        <v>1.16E-19</v>
      </c>
      <c r="P33" s="1">
        <v>1.74E-18</v>
      </c>
      <c r="Q33">
        <f t="shared" si="2"/>
        <v>3.8049158560000016E-39</v>
      </c>
      <c r="V33" s="1">
        <f t="shared" si="3"/>
        <v>1.74E-19</v>
      </c>
    </row>
    <row r="34" spans="3:22" x14ac:dyDescent="0.25">
      <c r="C34" s="1">
        <v>2.0399999999999999E-18</v>
      </c>
      <c r="D34">
        <f t="shared" si="0"/>
        <v>1.034967111111138E-42</v>
      </c>
      <c r="I34" s="1">
        <f t="shared" si="1"/>
        <v>1.1333333333333333E-19</v>
      </c>
      <c r="P34" s="1">
        <v>2.0399999999999999E-18</v>
      </c>
      <c r="Q34">
        <f t="shared" si="2"/>
        <v>5.3492468312066133E-39</v>
      </c>
      <c r="V34" s="1">
        <f t="shared" si="3"/>
        <v>1.8545454545454545E-19</v>
      </c>
    </row>
    <row r="35" spans="3:22" x14ac:dyDescent="0.25">
      <c r="C35" s="1">
        <v>1.8700000000000001E-18</v>
      </c>
      <c r="D35">
        <f t="shared" si="0"/>
        <v>5.3638559999999681E-42</v>
      </c>
      <c r="I35" s="1">
        <f t="shared" si="1"/>
        <v>1.0999999999999999E-19</v>
      </c>
      <c r="P35" s="1">
        <v>1.8700000000000001E-18</v>
      </c>
      <c r="Q35">
        <f t="shared" si="2"/>
        <v>5.5776998560000017E-39</v>
      </c>
      <c r="V35" s="1">
        <f t="shared" si="3"/>
        <v>1.87E-19</v>
      </c>
    </row>
    <row r="36" spans="3:22" x14ac:dyDescent="0.25">
      <c r="C36" s="1">
        <v>1.9400000000000001E-18</v>
      </c>
      <c r="D36">
        <f t="shared" si="0"/>
        <v>3.2459321245675271E-42</v>
      </c>
      <c r="I36" s="1">
        <f t="shared" si="1"/>
        <v>1.1411764705882353E-19</v>
      </c>
      <c r="P36" s="1">
        <v>1.9400000000000001E-18</v>
      </c>
      <c r="Q36">
        <f t="shared" si="2"/>
        <v>4.1020997237685994E-39</v>
      </c>
      <c r="V36" s="1">
        <f t="shared" si="3"/>
        <v>1.7636363636363638E-19</v>
      </c>
    </row>
    <row r="37" spans="3:22" x14ac:dyDescent="0.25">
      <c r="C37" s="1">
        <v>1.9200000000000002E-18</v>
      </c>
      <c r="D37">
        <f t="shared" si="0"/>
        <v>3.9084561937720833E-43</v>
      </c>
      <c r="I37" s="1">
        <f t="shared" si="1"/>
        <v>1.1294117647058826E-19</v>
      </c>
      <c r="P37" s="1">
        <v>1.9200000000000002E-18</v>
      </c>
      <c r="Q37">
        <f t="shared" si="2"/>
        <v>3.8725050130247968E-39</v>
      </c>
      <c r="V37" s="1">
        <f t="shared" si="3"/>
        <v>1.7454545454545456E-19</v>
      </c>
    </row>
    <row r="38" spans="3:22" x14ac:dyDescent="0.25">
      <c r="C38" s="1">
        <v>1.7699999999999998E-18</v>
      </c>
      <c r="D38">
        <f t="shared" si="0"/>
        <v>2.859480999999988E-42</v>
      </c>
      <c r="I38" s="1">
        <f t="shared" si="1"/>
        <v>1.1062499999999999E-19</v>
      </c>
      <c r="P38" s="1">
        <v>1.7699999999999998E-18</v>
      </c>
      <c r="Q38">
        <f t="shared" si="2"/>
        <v>4.1840198559999991E-39</v>
      </c>
      <c r="V38" s="1">
        <f t="shared" si="3"/>
        <v>1.7699999999999998E-19</v>
      </c>
    </row>
    <row r="39" spans="3:22" x14ac:dyDescent="0.25">
      <c r="C39" s="1">
        <v>1.6799999999999999E-18</v>
      </c>
      <c r="D39">
        <f t="shared" si="0"/>
        <v>9.985599999999932E-44</v>
      </c>
      <c r="I39" s="1">
        <f t="shared" si="1"/>
        <v>1.1199999999999999E-19</v>
      </c>
      <c r="P39" s="1">
        <v>1.6799999999999999E-18</v>
      </c>
      <c r="Q39">
        <f t="shared" si="2"/>
        <v>5.528021633777779E-39</v>
      </c>
      <c r="V39" s="1">
        <f t="shared" si="3"/>
        <v>1.8666666666666666E-19</v>
      </c>
    </row>
    <row r="40" spans="3:22" x14ac:dyDescent="0.25">
      <c r="C40" s="1">
        <v>1.7499999999999999E-18</v>
      </c>
      <c r="D40">
        <f t="shared" si="0"/>
        <v>8.6494809999999396E-42</v>
      </c>
      <c r="I40" s="1">
        <f t="shared" si="1"/>
        <v>1.09375E-19</v>
      </c>
      <c r="P40" s="1">
        <v>1.7499999999999999E-18</v>
      </c>
      <c r="Q40">
        <f t="shared" si="2"/>
        <v>3.9292838559999998E-39</v>
      </c>
      <c r="V40" s="1">
        <f t="shared" si="3"/>
        <v>1.7499999999999998E-19</v>
      </c>
    </row>
    <row r="41" spans="3:22" x14ac:dyDescent="0.25">
      <c r="C41" s="1">
        <v>1.9300000000000001E-18</v>
      </c>
      <c r="D41">
        <f t="shared" si="0"/>
        <v>1.4723681107266766E-42</v>
      </c>
      <c r="I41" s="1">
        <f t="shared" si="1"/>
        <v>1.1352941176470588E-19</v>
      </c>
      <c r="P41" s="1">
        <v>1.9300000000000001E-18</v>
      </c>
      <c r="Q41">
        <f t="shared" si="2"/>
        <v>3.9864759221157048E-39</v>
      </c>
      <c r="V41" s="1">
        <f t="shared" si="3"/>
        <v>1.7545454545454546E-19</v>
      </c>
    </row>
    <row r="42" spans="3:22" x14ac:dyDescent="0.25">
      <c r="C42" s="1">
        <v>1.9899999999999998E-18</v>
      </c>
      <c r="D42">
        <f t="shared" si="0"/>
        <v>3.0991646419753228E-42</v>
      </c>
      <c r="I42" s="1">
        <f t="shared" si="1"/>
        <v>1.1055555555555554E-19</v>
      </c>
      <c r="P42" s="1">
        <v>1.9899999999999998E-18</v>
      </c>
      <c r="Q42">
        <f t="shared" si="2"/>
        <v>4.7050121204628083E-39</v>
      </c>
      <c r="V42" s="1">
        <f t="shared" si="3"/>
        <v>1.8090909090909088E-19</v>
      </c>
    </row>
    <row r="43" spans="3:22" x14ac:dyDescent="0.25">
      <c r="C43" s="1">
        <v>1.12E-18</v>
      </c>
      <c r="D43">
        <f t="shared" si="0"/>
        <v>9.9855999999984106E-44</v>
      </c>
      <c r="I43" s="1">
        <f t="shared" si="1"/>
        <v>1.1200000000000001E-19</v>
      </c>
      <c r="P43" s="1">
        <v>1.12E-18</v>
      </c>
      <c r="Q43">
        <f t="shared" si="2"/>
        <v>5.528021633777779E-39</v>
      </c>
      <c r="V43" s="1">
        <f t="shared" si="3"/>
        <v>1.8666666666666666E-19</v>
      </c>
    </row>
    <row r="44" spans="3:22" x14ac:dyDescent="0.25">
      <c r="C44" s="1">
        <v>1.13E-18</v>
      </c>
      <c r="D44">
        <f t="shared" si="0"/>
        <v>4.6785600000001395E-43</v>
      </c>
      <c r="I44" s="1">
        <f t="shared" si="1"/>
        <v>1.13E-19</v>
      </c>
      <c r="P44" s="1">
        <v>1.13E-18</v>
      </c>
      <c r="Q44">
        <f t="shared" si="2"/>
        <v>5.778634967111111E-39</v>
      </c>
      <c r="V44" s="1">
        <f t="shared" si="3"/>
        <v>1.8833333333333332E-19</v>
      </c>
    </row>
    <row r="45" spans="3:22" x14ac:dyDescent="0.25">
      <c r="C45" s="1">
        <v>1.0700000000000001E-18</v>
      </c>
      <c r="D45">
        <f t="shared" si="0"/>
        <v>2.8259855999999708E-41</v>
      </c>
      <c r="I45" s="1">
        <f t="shared" si="1"/>
        <v>1.0700000000000001E-19</v>
      </c>
      <c r="P45" s="1">
        <v>1.0700000000000001E-18</v>
      </c>
      <c r="Q45">
        <f t="shared" si="2"/>
        <v>4.3582883004444481E-39</v>
      </c>
      <c r="V45" s="1">
        <f t="shared" si="3"/>
        <v>1.7833333333333335E-19</v>
      </c>
    </row>
    <row r="46" spans="3:22" x14ac:dyDescent="0.25">
      <c r="C46" s="1">
        <v>1.2E-18</v>
      </c>
      <c r="D46">
        <f t="shared" si="0"/>
        <v>1.0401211371900723E-41</v>
      </c>
      <c r="I46" s="1">
        <f t="shared" si="1"/>
        <v>1.0909090909090909E-19</v>
      </c>
      <c r="P46" s="1">
        <v>1.2E-18</v>
      </c>
      <c r="Q46">
        <f t="shared" si="2"/>
        <v>3.4942961008979615E-39</v>
      </c>
      <c r="V46" s="1">
        <f t="shared" si="3"/>
        <v>1.7142857142857143E-19</v>
      </c>
    </row>
    <row r="47" spans="3:22" x14ac:dyDescent="0.25">
      <c r="C47" s="1">
        <v>9.6000000000000009E-19</v>
      </c>
      <c r="D47">
        <f t="shared" si="0"/>
        <v>3.1914967111110834E-41</v>
      </c>
      <c r="I47" s="1">
        <f t="shared" si="1"/>
        <v>1.0666666666666668E-19</v>
      </c>
      <c r="P47" s="1">
        <v>9.6000000000000009E-19</v>
      </c>
      <c r="Q47">
        <f t="shared" si="2"/>
        <v>6.3495398560000052E-39</v>
      </c>
      <c r="V47" s="1">
        <f t="shared" si="3"/>
        <v>1.9200000000000002E-19</v>
      </c>
    </row>
    <row r="48" spans="3:22" x14ac:dyDescent="0.25">
      <c r="C48" s="1">
        <v>1.12E-18</v>
      </c>
      <c r="D48">
        <f t="shared" si="0"/>
        <v>9.9855999999984106E-44</v>
      </c>
      <c r="I48" s="1">
        <f t="shared" si="1"/>
        <v>1.1200000000000001E-19</v>
      </c>
      <c r="P48" s="1">
        <v>1.12E-18</v>
      </c>
      <c r="Q48">
        <f t="shared" si="2"/>
        <v>5.528021633777779E-39</v>
      </c>
      <c r="V48" s="1">
        <f t="shared" si="3"/>
        <v>1.8666666666666666E-19</v>
      </c>
    </row>
    <row r="49" spans="3:22" x14ac:dyDescent="0.25">
      <c r="C49" s="1">
        <v>1.1399999999999999E-18</v>
      </c>
      <c r="D49">
        <f t="shared" si="0"/>
        <v>2.8358559999999839E-42</v>
      </c>
      <c r="I49" s="1">
        <f t="shared" si="1"/>
        <v>1.1399999999999998E-19</v>
      </c>
      <c r="P49" s="1">
        <v>1.1399999999999999E-18</v>
      </c>
      <c r="Q49">
        <f t="shared" si="2"/>
        <v>6.0348038559999989E-39</v>
      </c>
      <c r="V49" s="1">
        <f t="shared" si="3"/>
        <v>1.8999999999999998E-19</v>
      </c>
    </row>
    <row r="50" spans="3:22" x14ac:dyDescent="0.25">
      <c r="C50" s="1">
        <v>1.0700000000000001E-18</v>
      </c>
      <c r="D50">
        <f t="shared" si="0"/>
        <v>2.8259855999999708E-41</v>
      </c>
      <c r="I50" s="1">
        <f t="shared" si="1"/>
        <v>1.0700000000000001E-19</v>
      </c>
      <c r="P50" s="1">
        <v>1.0700000000000001E-18</v>
      </c>
      <c r="Q50">
        <f t="shared" si="2"/>
        <v>4.3582883004444481E-39</v>
      </c>
      <c r="V50" s="1">
        <f t="shared" si="3"/>
        <v>1.7833333333333335E-19</v>
      </c>
    </row>
    <row r="51" spans="3:22" x14ac:dyDescent="0.25">
      <c r="C51" s="1">
        <v>1.05E-18</v>
      </c>
      <c r="D51">
        <f t="shared" si="0"/>
        <v>1.8928300444444615E-41</v>
      </c>
      <c r="I51" s="1">
        <f t="shared" si="1"/>
        <v>1.1666666666666667E-19</v>
      </c>
      <c r="P51" s="1">
        <v>1.05E-18</v>
      </c>
      <c r="Q51">
        <f t="shared" si="2"/>
        <v>3.929283856000003E-39</v>
      </c>
      <c r="V51" s="1">
        <f t="shared" si="3"/>
        <v>1.7500000000000001E-19</v>
      </c>
    </row>
    <row r="52" spans="3:22" x14ac:dyDescent="0.25">
      <c r="C52" s="1">
        <v>1.0999999999999999E-18</v>
      </c>
      <c r="D52">
        <f t="shared" si="0"/>
        <v>5.3638559999999681E-42</v>
      </c>
      <c r="I52" s="1">
        <f t="shared" si="1"/>
        <v>1.0999999999999999E-19</v>
      </c>
      <c r="P52" s="1">
        <v>1.0999999999999999E-18</v>
      </c>
      <c r="Q52">
        <f t="shared" si="2"/>
        <v>5.0434616337777778E-39</v>
      </c>
      <c r="V52" s="1">
        <f t="shared" si="3"/>
        <v>1.8333333333333332E-19</v>
      </c>
    </row>
    <row r="53" spans="3:22" x14ac:dyDescent="0.25">
      <c r="C53" s="1">
        <v>1.45E-18</v>
      </c>
      <c r="D53">
        <f t="shared" si="0"/>
        <v>6.0456605917158812E-43</v>
      </c>
      <c r="I53" s="1">
        <f t="shared" si="1"/>
        <v>1.1153846153846153E-19</v>
      </c>
      <c r="P53" s="1">
        <v>1.45E-18</v>
      </c>
      <c r="Q53">
        <f t="shared" si="2"/>
        <v>4.7518963560000017E-39</v>
      </c>
      <c r="V53" s="1">
        <f t="shared" si="3"/>
        <v>1.8125E-19</v>
      </c>
    </row>
    <row r="54" spans="3:22" x14ac:dyDescent="0.25">
      <c r="C54" s="1">
        <v>1.73E-18</v>
      </c>
      <c r="D54">
        <f t="shared" si="0"/>
        <v>9.1043004444444892E-42</v>
      </c>
      <c r="I54" s="1">
        <f t="shared" si="1"/>
        <v>1.1533333333333333E-19</v>
      </c>
      <c r="P54" s="1">
        <v>1.73E-18</v>
      </c>
      <c r="Q54">
        <f t="shared" si="2"/>
        <v>6.3850043498271635E-39</v>
      </c>
      <c r="V54" s="1">
        <f t="shared" si="3"/>
        <v>1.9222222222222223E-19</v>
      </c>
    </row>
    <row r="55" spans="3:22" x14ac:dyDescent="0.25">
      <c r="C55" s="1">
        <v>1.44E-18</v>
      </c>
      <c r="D55">
        <f t="shared" si="0"/>
        <v>2.3924950532544176E-42</v>
      </c>
      <c r="I55" s="1">
        <f t="shared" si="1"/>
        <v>1.1076923076923076E-19</v>
      </c>
      <c r="P55" s="1">
        <v>1.44E-18</v>
      </c>
      <c r="Q55">
        <f t="shared" si="2"/>
        <v>4.5811238560000024E-39</v>
      </c>
      <c r="V55" s="1">
        <f t="shared" si="3"/>
        <v>1.8000000000000001E-19</v>
      </c>
    </row>
    <row r="56" spans="3:22" x14ac:dyDescent="0.25">
      <c r="C56" s="1">
        <v>1.42E-18</v>
      </c>
      <c r="D56">
        <f t="shared" si="0"/>
        <v>9.518648899408239E-42</v>
      </c>
      <c r="I56" s="1">
        <f t="shared" si="1"/>
        <v>1.0923076923076922E-19</v>
      </c>
      <c r="P56" s="1">
        <v>1.42E-18</v>
      </c>
      <c r="Q56">
        <f t="shared" si="2"/>
        <v>4.2489538560000013E-39</v>
      </c>
      <c r="V56" s="1">
        <f t="shared" si="3"/>
        <v>1.7749999999999999E-19</v>
      </c>
    </row>
    <row r="57" spans="3:22" x14ac:dyDescent="0.25">
      <c r="C57" s="1">
        <v>1.38E-18</v>
      </c>
      <c r="D57">
        <f t="shared" si="0"/>
        <v>7.2038560000000229E-42</v>
      </c>
      <c r="I57" s="1">
        <f t="shared" si="1"/>
        <v>1.1499999999999999E-19</v>
      </c>
      <c r="P57" s="1">
        <v>1.38E-18</v>
      </c>
      <c r="Q57">
        <f t="shared" si="2"/>
        <v>3.6221138560000011E-39</v>
      </c>
      <c r="V57" s="1">
        <f t="shared" si="3"/>
        <v>1.725E-19</v>
      </c>
    </row>
    <row r="58" spans="3:22" x14ac:dyDescent="0.25">
      <c r="C58" s="1">
        <v>1.41E-18</v>
      </c>
      <c r="D58">
        <f t="shared" si="0"/>
        <v>1.4856873751479231E-41</v>
      </c>
      <c r="I58" s="1">
        <f t="shared" si="1"/>
        <v>1.0846153846153845E-19</v>
      </c>
      <c r="P58" s="1">
        <v>1.41E-18</v>
      </c>
      <c r="Q58">
        <f t="shared" si="2"/>
        <v>4.0875563560000021E-39</v>
      </c>
      <c r="V58" s="1">
        <f t="shared" si="3"/>
        <v>1.7625E-19</v>
      </c>
    </row>
    <row r="59" spans="3:22" x14ac:dyDescent="0.25">
      <c r="C59" s="1">
        <v>1.88E-18</v>
      </c>
      <c r="D59">
        <f t="shared" si="0"/>
        <v>2.985170878892706E-42</v>
      </c>
      <c r="I59" s="1">
        <f t="shared" si="1"/>
        <v>1.1058823529411764E-19</v>
      </c>
      <c r="P59" s="1">
        <v>1.88E-18</v>
      </c>
      <c r="Q59">
        <f t="shared" si="2"/>
        <v>5.728067856000003E-39</v>
      </c>
      <c r="V59" s="1">
        <f t="shared" si="3"/>
        <v>1.8800000000000001E-19</v>
      </c>
    </row>
    <row r="60" spans="3:22" x14ac:dyDescent="0.25">
      <c r="C60" s="1">
        <v>1.9300000000000001E-18</v>
      </c>
      <c r="D60">
        <f t="shared" si="0"/>
        <v>1.4723681107266766E-42</v>
      </c>
      <c r="I60" s="1">
        <f t="shared" si="1"/>
        <v>1.1352941176470588E-19</v>
      </c>
      <c r="P60" s="1">
        <v>1.9300000000000001E-18</v>
      </c>
      <c r="Q60">
        <f t="shared" si="2"/>
        <v>3.9864759221157048E-39</v>
      </c>
      <c r="V60" s="1">
        <f t="shared" si="3"/>
        <v>1.7545454545454546E-19</v>
      </c>
    </row>
    <row r="61" spans="3:22" x14ac:dyDescent="0.25">
      <c r="C61" s="1">
        <v>1.05E-18</v>
      </c>
      <c r="D61">
        <f t="shared" si="0"/>
        <v>1.8928300444444615E-41</v>
      </c>
      <c r="I61" s="1">
        <f t="shared" si="1"/>
        <v>1.1666666666666667E-19</v>
      </c>
      <c r="P61" s="1">
        <v>1.05E-18</v>
      </c>
      <c r="Q61">
        <f t="shared" si="2"/>
        <v>3.929283856000003E-39</v>
      </c>
      <c r="V61" s="1">
        <f t="shared" si="3"/>
        <v>1.7500000000000001E-19</v>
      </c>
    </row>
    <row r="62" spans="3:22" x14ac:dyDescent="0.25">
      <c r="C62" s="1">
        <v>1.5100000000000001E-18</v>
      </c>
      <c r="D62">
        <f t="shared" si="0"/>
        <v>1.4729063100591929E-41</v>
      </c>
      <c r="I62" s="1">
        <f t="shared" si="1"/>
        <v>1.1615384615384617E-19</v>
      </c>
      <c r="P62" s="1">
        <v>1.5100000000000001E-18</v>
      </c>
      <c r="Q62">
        <f t="shared" si="2"/>
        <v>5.842156356000003E-39</v>
      </c>
      <c r="V62" s="1">
        <f t="shared" si="3"/>
        <v>1.8875000000000001E-19</v>
      </c>
    </row>
    <row r="63" spans="3:22" x14ac:dyDescent="0.25">
      <c r="C63" s="1">
        <v>4.96E-19</v>
      </c>
      <c r="D63">
        <f t="shared" si="0"/>
        <v>1.3651585600000034E-40</v>
      </c>
      <c r="I63" s="1">
        <f t="shared" si="1"/>
        <v>1.24E-19</v>
      </c>
      <c r="P63" s="1">
        <v>1.2799999999999999E-18</v>
      </c>
      <c r="Q63">
        <f t="shared" si="2"/>
        <v>4.9760528355918375E-39</v>
      </c>
      <c r="V63" s="1">
        <f t="shared" si="3"/>
        <v>1.8285714285714285E-19</v>
      </c>
    </row>
    <row r="64" spans="3:22" x14ac:dyDescent="0.25">
      <c r="C64" s="1">
        <v>5.0200000000000001E-19</v>
      </c>
      <c r="D64">
        <f t="shared" si="0"/>
        <v>1.7381785600000041E-40</v>
      </c>
      <c r="I64" s="1">
        <f t="shared" si="1"/>
        <v>1.255E-19</v>
      </c>
      <c r="P64" s="1">
        <v>1.6500000000000001E-18</v>
      </c>
      <c r="Q64">
        <f t="shared" si="2"/>
        <v>5.0434616337777817E-39</v>
      </c>
      <c r="V64" s="1">
        <f t="shared" si="3"/>
        <v>1.8333333333333334E-19</v>
      </c>
    </row>
    <row r="65" spans="3:22" x14ac:dyDescent="0.25">
      <c r="C65" s="1">
        <v>4.5699999999999996E-19</v>
      </c>
      <c r="D65">
        <f t="shared" si="0"/>
        <v>3.7403560000000134E-42</v>
      </c>
      <c r="I65" s="1">
        <f t="shared" si="1"/>
        <v>1.1424999999999999E-19</v>
      </c>
      <c r="P65" s="1">
        <v>1.45E-18</v>
      </c>
      <c r="Q65">
        <f t="shared" si="2"/>
        <v>4.7518963560000017E-39</v>
      </c>
      <c r="V65" s="1">
        <f t="shared" si="3"/>
        <v>1.8125E-19</v>
      </c>
    </row>
    <row r="66" spans="3:22" x14ac:dyDescent="0.25">
      <c r="C66" s="1">
        <v>4.8500000000000002E-19</v>
      </c>
      <c r="D66">
        <f t="shared" si="0"/>
        <v>7.9816356000000343E-41</v>
      </c>
      <c r="I66" s="1">
        <f t="shared" si="1"/>
        <v>1.2125E-19</v>
      </c>
      <c r="P66" s="1">
        <v>1.38E-18</v>
      </c>
      <c r="Q66">
        <f t="shared" si="2"/>
        <v>3.6221138560000011E-39</v>
      </c>
      <c r="V66" s="1">
        <f t="shared" si="3"/>
        <v>1.725E-19</v>
      </c>
    </row>
    <row r="67" spans="3:22" x14ac:dyDescent="0.25">
      <c r="C67" s="1">
        <v>4.7499999999999998E-19</v>
      </c>
      <c r="D67">
        <f t="shared" si="0"/>
        <v>4.1396356000000107E-41</v>
      </c>
      <c r="I67" s="1">
        <f t="shared" si="1"/>
        <v>1.1874999999999999E-19</v>
      </c>
      <c r="P67" s="1">
        <v>1.41E-18</v>
      </c>
      <c r="Q67">
        <f t="shared" si="2"/>
        <v>4.0875563560000021E-39</v>
      </c>
      <c r="V67" s="1">
        <f t="shared" si="3"/>
        <v>1.7625E-19</v>
      </c>
    </row>
    <row r="68" spans="3:22" x14ac:dyDescent="0.25">
      <c r="C68" s="1">
        <v>5.5299999999999997E-19</v>
      </c>
      <c r="D68">
        <f t="shared" si="0"/>
        <v>2.9446559999999908E-42</v>
      </c>
      <c r="I68" s="1">
        <f t="shared" si="1"/>
        <v>1.1059999999999999E-19</v>
      </c>
      <c r="P68" s="1">
        <v>9.0700000000000007E-19</v>
      </c>
      <c r="Q68">
        <f t="shared" si="2"/>
        <v>4.7725990560000022E-39</v>
      </c>
      <c r="V68" s="1">
        <f t="shared" si="3"/>
        <v>1.814E-19</v>
      </c>
    </row>
    <row r="69" spans="3:22" x14ac:dyDescent="0.25">
      <c r="C69" s="1">
        <v>6.0700000000000002E-19</v>
      </c>
      <c r="D69">
        <f t="shared" si="0"/>
        <v>8.2519056000000443E-41</v>
      </c>
      <c r="I69" s="1">
        <f t="shared" si="1"/>
        <v>1.2140000000000001E-19</v>
      </c>
      <c r="P69" s="1">
        <v>1.3E-18</v>
      </c>
      <c r="Q69">
        <f t="shared" si="2"/>
        <v>5.3873083457959204E-39</v>
      </c>
      <c r="V69" s="1">
        <f t="shared" si="3"/>
        <v>1.8571428571428571E-19</v>
      </c>
    </row>
    <row r="70" spans="3:22" x14ac:dyDescent="0.25">
      <c r="C70" s="1">
        <v>7.4699999999999995E-19</v>
      </c>
      <c r="D70">
        <f t="shared" ref="D70:D127" si="4">(C70/INT(C70/$C$3+0.5)-$C$3)^2</f>
        <v>3.137920293877548E-41</v>
      </c>
      <c r="I70" s="1">
        <f t="shared" ref="I70:I127" si="5">C70/(INT(C70/$C$3+0.5))</f>
        <v>1.067142857142857E-19</v>
      </c>
      <c r="P70" s="1">
        <v>1.5299999999999999E-18</v>
      </c>
      <c r="Q70">
        <f t="shared" ref="Q70:Q104" si="6">(P70/INT(P70/$P$3+0.5)-$C$3)^2</f>
        <v>6.2305763560000007E-39</v>
      </c>
      <c r="V70" s="1">
        <f t="shared" ref="V70:V104" si="7">P70/(INT(P70/$P$3+0.5))</f>
        <v>1.9124999999999999E-19</v>
      </c>
    </row>
    <row r="71" spans="3:22" x14ac:dyDescent="0.25">
      <c r="C71" s="1">
        <v>6.1399999999999997E-19</v>
      </c>
      <c r="D71">
        <f t="shared" si="4"/>
        <v>1.0991425599999997E-40</v>
      </c>
      <c r="I71" s="1">
        <f t="shared" si="5"/>
        <v>1.2279999999999998E-19</v>
      </c>
      <c r="P71" s="1">
        <v>1.2200000000000001E-18</v>
      </c>
      <c r="Q71">
        <f t="shared" si="6"/>
        <v>3.8402454886530647E-39</v>
      </c>
      <c r="V71" s="1">
        <f t="shared" si="7"/>
        <v>1.742857142857143E-19</v>
      </c>
    </row>
    <row r="72" spans="3:22" x14ac:dyDescent="0.25">
      <c r="C72" s="1">
        <v>6.5799999999999998E-19</v>
      </c>
      <c r="D72">
        <f t="shared" si="4"/>
        <v>7.0189671111110906E-42</v>
      </c>
      <c r="I72" s="1">
        <f t="shared" si="5"/>
        <v>1.0966666666666666E-19</v>
      </c>
      <c r="P72" s="1">
        <v>1.3199999999999999E-18</v>
      </c>
      <c r="Q72">
        <f t="shared" si="6"/>
        <v>5.8148903866122444E-39</v>
      </c>
      <c r="V72" s="1">
        <f t="shared" si="7"/>
        <v>1.8857142857142856E-19</v>
      </c>
    </row>
    <row r="73" spans="3:22" x14ac:dyDescent="0.25">
      <c r="C73" s="1">
        <v>1.2799999999999999E-18</v>
      </c>
      <c r="D73">
        <f t="shared" si="4"/>
        <v>1.6383360132231524E-41</v>
      </c>
      <c r="I73" s="1">
        <f t="shared" si="5"/>
        <v>1.1636363636363636E-19</v>
      </c>
      <c r="P73" s="1">
        <v>1.2500000000000001E-18</v>
      </c>
      <c r="Q73">
        <f t="shared" si="6"/>
        <v>4.3897818151836774E-39</v>
      </c>
      <c r="V73" s="1">
        <f t="shared" si="7"/>
        <v>1.7857142857142858E-19</v>
      </c>
    </row>
    <row r="74" spans="3:22" x14ac:dyDescent="0.25">
      <c r="C74" s="1">
        <v>1.6500000000000001E-18</v>
      </c>
      <c r="D74">
        <f t="shared" si="4"/>
        <v>5.3638559999998566E-42</v>
      </c>
      <c r="I74" s="1">
        <f t="shared" si="5"/>
        <v>1.1000000000000002E-19</v>
      </c>
      <c r="P74" s="1">
        <v>1.1699999999999999E-18</v>
      </c>
      <c r="Q74">
        <f t="shared" si="6"/>
        <v>6.8366438560000026E-39</v>
      </c>
      <c r="V74" s="1">
        <f t="shared" si="7"/>
        <v>1.95E-19</v>
      </c>
    </row>
    <row r="75" spans="3:22" x14ac:dyDescent="0.25">
      <c r="C75" s="1">
        <v>1.45E-18</v>
      </c>
      <c r="D75">
        <f t="shared" si="4"/>
        <v>6.0456605917158812E-43</v>
      </c>
      <c r="I75" s="1">
        <f t="shared" si="5"/>
        <v>1.1153846153846153E-19</v>
      </c>
      <c r="P75" s="1">
        <v>1.1100000000000001E-18</v>
      </c>
      <c r="Q75">
        <f t="shared" si="6"/>
        <v>5.2829638560000028E-39</v>
      </c>
      <c r="V75" s="1">
        <f t="shared" si="7"/>
        <v>1.85E-19</v>
      </c>
    </row>
    <row r="76" spans="3:22" x14ac:dyDescent="0.25">
      <c r="C76" s="1">
        <v>1.38E-18</v>
      </c>
      <c r="D76">
        <f t="shared" si="4"/>
        <v>7.2038560000000229E-42</v>
      </c>
      <c r="I76" s="1">
        <f t="shared" si="5"/>
        <v>1.1499999999999999E-19</v>
      </c>
      <c r="P76" s="1">
        <v>1.1800000000000001E-18</v>
      </c>
      <c r="Q76">
        <f t="shared" si="6"/>
        <v>7.1150349671111164E-39</v>
      </c>
      <c r="V76" s="1">
        <f t="shared" si="7"/>
        <v>1.9666666666666668E-19</v>
      </c>
    </row>
    <row r="77" spans="3:22" x14ac:dyDescent="0.25">
      <c r="C77" s="1">
        <v>1.41E-18</v>
      </c>
      <c r="D77">
        <f t="shared" si="4"/>
        <v>1.4856873751479231E-41</v>
      </c>
      <c r="I77" s="1">
        <f t="shared" si="5"/>
        <v>1.0846153846153845E-19</v>
      </c>
      <c r="P77" s="1">
        <v>1.0299999999999999E-18</v>
      </c>
      <c r="Q77">
        <f t="shared" si="6"/>
        <v>3.5225016337777767E-39</v>
      </c>
      <c r="V77" s="1">
        <f t="shared" si="7"/>
        <v>1.7166666666666664E-19</v>
      </c>
    </row>
    <row r="78" spans="3:22" x14ac:dyDescent="0.25">
      <c r="C78" s="1">
        <v>9.0700000000000007E-19</v>
      </c>
      <c r="D78">
        <f t="shared" si="4"/>
        <v>1.1214810000000479E-42</v>
      </c>
      <c r="I78" s="1">
        <f t="shared" si="5"/>
        <v>1.1337500000000001E-19</v>
      </c>
      <c r="P78" s="1">
        <v>1.09E-18</v>
      </c>
      <c r="Q78">
        <f t="shared" si="6"/>
        <v>4.8095149671111125E-39</v>
      </c>
      <c r="V78" s="1">
        <f t="shared" si="7"/>
        <v>1.8166666666666666E-19</v>
      </c>
    </row>
    <row r="79" spans="3:22" x14ac:dyDescent="0.25">
      <c r="C79" s="1">
        <v>1.3E-18</v>
      </c>
      <c r="D79">
        <f t="shared" si="4"/>
        <v>1.5861633777777653E-41</v>
      </c>
      <c r="I79" s="1">
        <f t="shared" si="5"/>
        <v>1.0833333333333333E-19</v>
      </c>
      <c r="P79" s="1">
        <v>1.05E-18</v>
      </c>
      <c r="Q79">
        <f t="shared" si="6"/>
        <v>3.929283856000003E-39</v>
      </c>
      <c r="V79" s="1">
        <f t="shared" si="7"/>
        <v>1.7500000000000001E-19</v>
      </c>
    </row>
    <row r="80" spans="3:22" x14ac:dyDescent="0.25">
      <c r="C80" s="1">
        <v>1.5299999999999999E-18</v>
      </c>
      <c r="D80">
        <f t="shared" si="4"/>
        <v>9.1826315102040163E-42</v>
      </c>
      <c r="I80" s="1">
        <f t="shared" si="5"/>
        <v>1.0928571428571428E-19</v>
      </c>
      <c r="P80" s="1">
        <v>1.27E-18</v>
      </c>
      <c r="Q80">
        <f t="shared" si="6"/>
        <v>4.7765475294693893E-39</v>
      </c>
      <c r="V80" s="1">
        <f t="shared" si="7"/>
        <v>1.8142857142857143E-19</v>
      </c>
    </row>
    <row r="81" spans="3:22" x14ac:dyDescent="0.25">
      <c r="C81" s="1">
        <v>1.2200000000000001E-18</v>
      </c>
      <c r="D81">
        <f t="shared" si="4"/>
        <v>1.9793931900825833E-42</v>
      </c>
      <c r="I81" s="1">
        <f t="shared" si="5"/>
        <v>1.1090909090909092E-19</v>
      </c>
      <c r="P81" s="1">
        <v>1.09E-18</v>
      </c>
      <c r="Q81">
        <f t="shared" si="6"/>
        <v>4.8095149671111125E-39</v>
      </c>
      <c r="V81" s="1">
        <f t="shared" si="7"/>
        <v>1.8166666666666666E-19</v>
      </c>
    </row>
    <row r="82" spans="3:22" x14ac:dyDescent="0.25">
      <c r="C82" s="1">
        <v>1.3199999999999999E-18</v>
      </c>
      <c r="D82">
        <f t="shared" si="4"/>
        <v>5.3638559999999681E-42</v>
      </c>
      <c r="I82" s="1">
        <f t="shared" si="5"/>
        <v>1.0999999999999999E-19</v>
      </c>
      <c r="P82" s="1">
        <v>1.12E-18</v>
      </c>
      <c r="Q82">
        <f t="shared" si="6"/>
        <v>5.528021633777779E-39</v>
      </c>
      <c r="V82" s="1">
        <f t="shared" si="7"/>
        <v>1.8666666666666666E-19</v>
      </c>
    </row>
    <row r="83" spans="3:22" x14ac:dyDescent="0.25">
      <c r="C83" s="1">
        <v>1.2500000000000001E-18</v>
      </c>
      <c r="D83">
        <f t="shared" si="4"/>
        <v>1.7433601322314529E-42</v>
      </c>
      <c r="I83" s="1">
        <f t="shared" si="5"/>
        <v>1.1363636363636364E-19</v>
      </c>
      <c r="P83" s="1">
        <v>1.15E-18</v>
      </c>
      <c r="Q83">
        <f t="shared" si="6"/>
        <v>6.2965283004444491E-39</v>
      </c>
      <c r="V83" s="1">
        <f t="shared" si="7"/>
        <v>1.9166666666666668E-19</v>
      </c>
    </row>
    <row r="84" spans="3:22" x14ac:dyDescent="0.25">
      <c r="C84" s="1">
        <v>1.1699999999999999E-18</v>
      </c>
      <c r="D84">
        <f t="shared" si="4"/>
        <v>2.1939855999999986E-41</v>
      </c>
      <c r="I84" s="1">
        <f t="shared" si="5"/>
        <v>1.1699999999999998E-19</v>
      </c>
      <c r="P84" s="1">
        <v>1.3499999999999999E-18</v>
      </c>
      <c r="Q84">
        <f t="shared" si="6"/>
        <v>6.4868756927346938E-39</v>
      </c>
      <c r="V84" s="1">
        <f t="shared" si="7"/>
        <v>1.9285714285714284E-19</v>
      </c>
    </row>
    <row r="85" spans="3:22" x14ac:dyDescent="0.25">
      <c r="C85" s="1">
        <v>1.1100000000000001E-18</v>
      </c>
      <c r="D85">
        <f t="shared" si="4"/>
        <v>1.7318559999999577E-42</v>
      </c>
      <c r="I85" s="1">
        <f t="shared" si="5"/>
        <v>1.11E-19</v>
      </c>
      <c r="P85" s="1">
        <v>1.08E-18</v>
      </c>
      <c r="Q85">
        <f t="shared" si="6"/>
        <v>4.5811238560000024E-39</v>
      </c>
      <c r="V85" s="1">
        <f t="shared" si="7"/>
        <v>1.8000000000000001E-19</v>
      </c>
    </row>
    <row r="86" spans="3:22" x14ac:dyDescent="0.25">
      <c r="C86" s="1">
        <v>1.1800000000000001E-18</v>
      </c>
      <c r="D86">
        <f t="shared" si="4"/>
        <v>2.5434599801652667E-41</v>
      </c>
      <c r="I86" s="1">
        <f t="shared" si="5"/>
        <v>1.0727272727272728E-19</v>
      </c>
      <c r="P86" s="1">
        <v>1.0999999999999999E-18</v>
      </c>
      <c r="Q86">
        <f t="shared" si="6"/>
        <v>5.0434616337777778E-39</v>
      </c>
      <c r="V86" s="1">
        <f t="shared" si="7"/>
        <v>1.8333333333333332E-19</v>
      </c>
    </row>
    <row r="87" spans="3:22" x14ac:dyDescent="0.25">
      <c r="C87" s="1">
        <v>1.0299999999999999E-18</v>
      </c>
      <c r="D87">
        <f t="shared" si="4"/>
        <v>4.5302757530864848E-42</v>
      </c>
      <c r="I87" s="1">
        <f t="shared" si="5"/>
        <v>1.1444444444444445E-19</v>
      </c>
      <c r="P87" s="1">
        <v>1.2E-18</v>
      </c>
      <c r="Q87">
        <f t="shared" si="6"/>
        <v>3.4942961008979615E-39</v>
      </c>
      <c r="V87" s="1">
        <f t="shared" si="7"/>
        <v>1.7142857142857143E-19</v>
      </c>
    </row>
    <row r="88" spans="3:22" x14ac:dyDescent="0.25">
      <c r="C88" s="1">
        <v>1.09E-18</v>
      </c>
      <c r="D88">
        <f t="shared" si="4"/>
        <v>1.0995855999999855E-41</v>
      </c>
      <c r="I88" s="1">
        <f t="shared" si="5"/>
        <v>1.0900000000000001E-19</v>
      </c>
      <c r="P88" s="1">
        <v>1.0000000000000001E-18</v>
      </c>
      <c r="Q88">
        <f t="shared" si="6"/>
        <v>7.688483856000006E-39</v>
      </c>
      <c r="V88" s="1">
        <f t="shared" si="7"/>
        <v>2.0000000000000002E-19</v>
      </c>
    </row>
    <row r="89" spans="3:22" x14ac:dyDescent="0.25">
      <c r="C89" s="1">
        <v>1.05E-18</v>
      </c>
      <c r="D89">
        <f t="shared" si="4"/>
        <v>1.8928300444444615E-41</v>
      </c>
      <c r="I89" s="1">
        <f t="shared" si="5"/>
        <v>1.1666666666666667E-19</v>
      </c>
      <c r="P89" s="1">
        <v>1.13E-18</v>
      </c>
      <c r="Q89">
        <f t="shared" si="6"/>
        <v>5.778634967111111E-39</v>
      </c>
      <c r="V89" s="1">
        <f t="shared" si="7"/>
        <v>1.8833333333333332E-19</v>
      </c>
    </row>
    <row r="90" spans="3:22" x14ac:dyDescent="0.25">
      <c r="C90" s="1">
        <v>1.27E-18</v>
      </c>
      <c r="D90">
        <f t="shared" si="4"/>
        <v>9.8504675702480832E-42</v>
      </c>
      <c r="I90" s="1">
        <f t="shared" si="5"/>
        <v>1.1545454545454546E-19</v>
      </c>
      <c r="P90" s="1">
        <v>1.15E-18</v>
      </c>
      <c r="Q90">
        <f t="shared" si="6"/>
        <v>6.2965283004444491E-39</v>
      </c>
      <c r="V90" s="1">
        <f t="shared" si="7"/>
        <v>1.9166666666666668E-19</v>
      </c>
    </row>
    <row r="91" spans="3:22" x14ac:dyDescent="0.25">
      <c r="C91" s="1">
        <v>1.09E-18</v>
      </c>
      <c r="D91">
        <f t="shared" si="4"/>
        <v>1.0995855999999855E-41</v>
      </c>
      <c r="I91" s="1">
        <f t="shared" si="5"/>
        <v>1.0900000000000001E-19</v>
      </c>
      <c r="P91" s="1">
        <v>1.08E-18</v>
      </c>
      <c r="Q91">
        <f t="shared" si="6"/>
        <v>4.5811238560000024E-39</v>
      </c>
      <c r="V91" s="1">
        <f t="shared" si="7"/>
        <v>1.8000000000000001E-19</v>
      </c>
    </row>
    <row r="92" spans="3:22" x14ac:dyDescent="0.25">
      <c r="C92" s="1">
        <v>1.12E-18</v>
      </c>
      <c r="D92">
        <f t="shared" si="4"/>
        <v>9.9855999999984106E-44</v>
      </c>
      <c r="I92" s="1">
        <f t="shared" si="5"/>
        <v>1.1200000000000001E-19</v>
      </c>
      <c r="P92" s="1">
        <v>1.15E-18</v>
      </c>
      <c r="Q92">
        <f t="shared" si="6"/>
        <v>6.2965283004444491E-39</v>
      </c>
      <c r="V92" s="1">
        <f t="shared" si="7"/>
        <v>1.9166666666666668E-19</v>
      </c>
    </row>
    <row r="93" spans="3:22" x14ac:dyDescent="0.25">
      <c r="C93" s="1">
        <v>1.15E-18</v>
      </c>
      <c r="D93">
        <f t="shared" si="4"/>
        <v>7.2038560000001529E-42</v>
      </c>
      <c r="I93" s="1">
        <f t="shared" si="5"/>
        <v>1.1500000000000001E-19</v>
      </c>
      <c r="P93" s="1">
        <v>1.48E-18</v>
      </c>
      <c r="Q93">
        <f t="shared" si="6"/>
        <v>5.2829638560000028E-39</v>
      </c>
      <c r="V93" s="1">
        <f t="shared" si="7"/>
        <v>1.85E-19</v>
      </c>
    </row>
    <row r="94" spans="3:22" x14ac:dyDescent="0.25">
      <c r="C94" s="1">
        <v>1.3499999999999999E-18</v>
      </c>
      <c r="D94">
        <f t="shared" si="4"/>
        <v>3.3856000000006503E-44</v>
      </c>
      <c r="I94" s="1">
        <f t="shared" si="5"/>
        <v>1.125E-19</v>
      </c>
      <c r="P94" s="1">
        <v>1.48E-18</v>
      </c>
      <c r="Q94">
        <f t="shared" si="6"/>
        <v>5.2829638560000028E-39</v>
      </c>
      <c r="V94" s="1">
        <f t="shared" si="7"/>
        <v>1.85E-19</v>
      </c>
    </row>
    <row r="95" spans="3:22" x14ac:dyDescent="0.25">
      <c r="C95" s="1">
        <v>1.08E-18</v>
      </c>
      <c r="D95">
        <f t="shared" si="4"/>
        <v>1.8627855999999891E-41</v>
      </c>
      <c r="I95" s="1">
        <f t="shared" si="5"/>
        <v>1.08E-19</v>
      </c>
      <c r="P95" s="1">
        <v>1.55E-18</v>
      </c>
      <c r="Q95">
        <f t="shared" si="6"/>
        <v>6.6314963560000032E-39</v>
      </c>
      <c r="V95" s="1">
        <f t="shared" si="7"/>
        <v>1.9375E-19</v>
      </c>
    </row>
    <row r="96" spans="3:22" x14ac:dyDescent="0.25">
      <c r="C96" s="1">
        <v>1.0999999999999999E-18</v>
      </c>
      <c r="D96">
        <f t="shared" si="4"/>
        <v>5.3638559999999681E-42</v>
      </c>
      <c r="I96" s="1">
        <f t="shared" si="5"/>
        <v>1.0999999999999999E-19</v>
      </c>
      <c r="P96" s="1">
        <v>1.49E-18</v>
      </c>
      <c r="Q96">
        <f t="shared" si="6"/>
        <v>5.4662363560000017E-39</v>
      </c>
      <c r="V96" s="1">
        <f t="shared" si="7"/>
        <v>1.8625E-19</v>
      </c>
    </row>
    <row r="97" spans="3:22" x14ac:dyDescent="0.25">
      <c r="C97" s="1">
        <v>1.2E-18</v>
      </c>
      <c r="D97">
        <f t="shared" si="4"/>
        <v>1.0401211371900723E-41</v>
      </c>
      <c r="I97" s="1">
        <f t="shared" si="5"/>
        <v>1.0909090909090909E-19</v>
      </c>
      <c r="P97" s="1">
        <v>1.63E-18</v>
      </c>
      <c r="Q97">
        <f t="shared" si="6"/>
        <v>4.7327673127901263E-39</v>
      </c>
      <c r="V97" s="1">
        <f t="shared" si="7"/>
        <v>1.8111111111111112E-19</v>
      </c>
    </row>
    <row r="98" spans="3:22" x14ac:dyDescent="0.25">
      <c r="C98" s="1">
        <v>1.0000000000000001E-18</v>
      </c>
      <c r="D98">
        <f t="shared" si="4"/>
        <v>1.4517572345678217E-42</v>
      </c>
      <c r="I98" s="1">
        <f t="shared" si="5"/>
        <v>1.1111111111111113E-19</v>
      </c>
      <c r="P98" s="1">
        <v>1.13E-18</v>
      </c>
      <c r="Q98">
        <f t="shared" si="6"/>
        <v>5.778634967111111E-39</v>
      </c>
      <c r="V98" s="1">
        <f t="shared" si="7"/>
        <v>1.8833333333333332E-19</v>
      </c>
    </row>
    <row r="99" spans="3:22" x14ac:dyDescent="0.25">
      <c r="C99" s="1">
        <v>1.13E-18</v>
      </c>
      <c r="D99">
        <f t="shared" si="4"/>
        <v>4.6785600000001395E-43</v>
      </c>
      <c r="I99" s="1">
        <f t="shared" si="5"/>
        <v>1.13E-19</v>
      </c>
      <c r="P99" s="1">
        <v>1.5299999999999999E-18</v>
      </c>
      <c r="Q99">
        <f t="shared" si="6"/>
        <v>6.2305763560000007E-39</v>
      </c>
      <c r="V99" s="1">
        <f t="shared" si="7"/>
        <v>1.9124999999999999E-19</v>
      </c>
    </row>
    <row r="100" spans="3:22" x14ac:dyDescent="0.25">
      <c r="C100" s="1">
        <v>1.15E-18</v>
      </c>
      <c r="D100">
        <f t="shared" si="4"/>
        <v>7.2038560000001529E-42</v>
      </c>
      <c r="I100" s="1">
        <f t="shared" si="5"/>
        <v>1.1500000000000001E-19</v>
      </c>
      <c r="P100" s="1">
        <v>1.6500000000000001E-18</v>
      </c>
      <c r="Q100">
        <f t="shared" si="6"/>
        <v>5.0434616337777817E-39</v>
      </c>
      <c r="V100" s="1">
        <f t="shared" si="7"/>
        <v>1.8333333333333334E-19</v>
      </c>
    </row>
    <row r="101" spans="3:22" x14ac:dyDescent="0.25">
      <c r="C101" s="1">
        <v>1.08E-18</v>
      </c>
      <c r="D101">
        <f t="shared" si="4"/>
        <v>1.8627855999999891E-41</v>
      </c>
      <c r="I101" s="1">
        <f t="shared" si="5"/>
        <v>1.08E-19</v>
      </c>
      <c r="P101" s="1">
        <v>1.44E-18</v>
      </c>
      <c r="Q101">
        <f t="shared" si="6"/>
        <v>4.5811238560000024E-39</v>
      </c>
      <c r="V101" s="1">
        <f t="shared" si="7"/>
        <v>1.8000000000000001E-19</v>
      </c>
    </row>
    <row r="102" spans="3:22" x14ac:dyDescent="0.25">
      <c r="C102" s="1">
        <v>1.15E-18</v>
      </c>
      <c r="D102">
        <f t="shared" si="4"/>
        <v>7.2038560000001529E-42</v>
      </c>
      <c r="I102" s="1">
        <f t="shared" si="5"/>
        <v>1.1500000000000001E-19</v>
      </c>
      <c r="P102" s="1">
        <v>1.5299999999999999E-18</v>
      </c>
      <c r="Q102">
        <f t="shared" si="6"/>
        <v>6.2305763560000007E-39</v>
      </c>
      <c r="V102" s="1">
        <f t="shared" si="7"/>
        <v>1.9124999999999999E-19</v>
      </c>
    </row>
    <row r="103" spans="3:22" x14ac:dyDescent="0.25">
      <c r="C103" s="1">
        <v>1.48E-18</v>
      </c>
      <c r="D103">
        <f t="shared" si="4"/>
        <v>2.3413707928994235E-42</v>
      </c>
      <c r="I103" s="1">
        <f t="shared" si="5"/>
        <v>1.1384615384615384E-19</v>
      </c>
      <c r="P103" s="1">
        <v>1.7599999999999999E-18</v>
      </c>
      <c r="Q103">
        <f t="shared" si="6"/>
        <v>4.0556518560000007E-39</v>
      </c>
      <c r="V103" s="1">
        <f t="shared" si="7"/>
        <v>1.7599999999999999E-19</v>
      </c>
    </row>
    <row r="104" spans="3:22" x14ac:dyDescent="0.25">
      <c r="C104" s="1">
        <v>1.48E-18</v>
      </c>
      <c r="D104">
        <f t="shared" si="4"/>
        <v>2.3413707928994235E-42</v>
      </c>
      <c r="I104" s="1">
        <f t="shared" si="5"/>
        <v>1.1384615384615384E-19</v>
      </c>
      <c r="P104" s="1">
        <v>1.9200000000000002E-18</v>
      </c>
      <c r="Q104">
        <f t="shared" si="6"/>
        <v>3.8725050130247968E-39</v>
      </c>
      <c r="V104" s="1">
        <f t="shared" si="7"/>
        <v>1.7454545454545456E-19</v>
      </c>
    </row>
    <row r="105" spans="3:22" x14ac:dyDescent="0.25">
      <c r="C105" s="1">
        <v>1.55E-18</v>
      </c>
      <c r="D105">
        <f t="shared" si="4"/>
        <v>2.5654886530611374E-42</v>
      </c>
      <c r="I105" s="1">
        <f t="shared" si="5"/>
        <v>1.1071428571428573E-19</v>
      </c>
      <c r="P105" s="1"/>
      <c r="V105" s="1"/>
    </row>
    <row r="106" spans="3:22" x14ac:dyDescent="0.25">
      <c r="C106" s="1">
        <v>1.49E-18</v>
      </c>
      <c r="D106">
        <f t="shared" si="4"/>
        <v>5.2871696094674765E-42</v>
      </c>
      <c r="I106" s="1">
        <f t="shared" si="5"/>
        <v>1.1461538461538461E-19</v>
      </c>
      <c r="P106" s="1"/>
      <c r="V106" s="1"/>
    </row>
    <row r="107" spans="3:22" x14ac:dyDescent="0.25">
      <c r="C107" s="1">
        <v>1.63E-18</v>
      </c>
      <c r="D107">
        <f t="shared" si="4"/>
        <v>1.331763377777764E-41</v>
      </c>
      <c r="I107" s="1">
        <f t="shared" si="5"/>
        <v>1.0866666666666667E-19</v>
      </c>
      <c r="P107" s="1"/>
      <c r="V107" s="1"/>
    </row>
    <row r="108" spans="3:22" x14ac:dyDescent="0.25">
      <c r="C108" s="1">
        <v>1.13E-18</v>
      </c>
      <c r="D108">
        <f t="shared" si="4"/>
        <v>4.6785600000001395E-43</v>
      </c>
      <c r="I108" s="1">
        <f t="shared" si="5"/>
        <v>1.13E-19</v>
      </c>
      <c r="P108" s="1"/>
      <c r="V108" s="1"/>
    </row>
    <row r="109" spans="3:22" x14ac:dyDescent="0.25">
      <c r="C109" s="1">
        <v>1.5299999999999999E-18</v>
      </c>
      <c r="D109">
        <f t="shared" si="4"/>
        <v>9.1826315102040163E-42</v>
      </c>
      <c r="I109" s="1">
        <f t="shared" si="5"/>
        <v>1.0928571428571428E-19</v>
      </c>
      <c r="P109" s="1"/>
      <c r="V109" s="1"/>
    </row>
    <row r="110" spans="3:22" x14ac:dyDescent="0.25">
      <c r="C110" s="1">
        <v>1.6500000000000001E-18</v>
      </c>
      <c r="D110">
        <f t="shared" si="4"/>
        <v>5.3638559999998566E-42</v>
      </c>
      <c r="I110" s="1">
        <f t="shared" si="5"/>
        <v>1.1000000000000002E-19</v>
      </c>
      <c r="P110" s="1"/>
      <c r="V110" s="1"/>
    </row>
    <row r="111" spans="3:22" x14ac:dyDescent="0.25">
      <c r="C111" s="1">
        <v>1.44E-18</v>
      </c>
      <c r="D111">
        <f t="shared" si="4"/>
        <v>2.3924950532544176E-42</v>
      </c>
      <c r="I111" s="1">
        <f t="shared" si="5"/>
        <v>1.1076923076923076E-19</v>
      </c>
      <c r="P111" s="1"/>
      <c r="V111" s="1"/>
    </row>
    <row r="112" spans="3:22" x14ac:dyDescent="0.25">
      <c r="C112" s="1">
        <v>1.5299999999999999E-18</v>
      </c>
      <c r="D112">
        <f t="shared" si="4"/>
        <v>9.1826315102040163E-42</v>
      </c>
      <c r="I112" s="1">
        <f t="shared" si="5"/>
        <v>1.0928571428571428E-19</v>
      </c>
      <c r="P112" s="1"/>
      <c r="V112" s="1"/>
    </row>
    <row r="113" spans="3:22" x14ac:dyDescent="0.25">
      <c r="C113" s="1">
        <v>4.9400000000000003E-19</v>
      </c>
      <c r="D113">
        <f t="shared" si="4"/>
        <v>1.2508185600000048E-40</v>
      </c>
      <c r="I113" s="1">
        <f t="shared" si="5"/>
        <v>1.2350000000000001E-19</v>
      </c>
      <c r="P113" s="1"/>
      <c r="V113" s="1"/>
    </row>
    <row r="114" spans="3:22" x14ac:dyDescent="0.25">
      <c r="C114" s="1">
        <v>4.9799999999999997E-19</v>
      </c>
      <c r="D114">
        <f t="shared" si="4"/>
        <v>1.4844985600000016E-40</v>
      </c>
      <c r="I114" s="1">
        <f t="shared" si="5"/>
        <v>1.2449999999999999E-19</v>
      </c>
      <c r="P114" s="1"/>
      <c r="V114" s="1"/>
    </row>
    <row r="115" spans="3:22" x14ac:dyDescent="0.25">
      <c r="C115" s="1">
        <v>4.5900000000000002E-19</v>
      </c>
      <c r="D115">
        <f t="shared" si="4"/>
        <v>5.9243560000000984E-42</v>
      </c>
      <c r="I115" s="1">
        <f t="shared" si="5"/>
        <v>1.1475000000000001E-19</v>
      </c>
      <c r="P115" s="1"/>
      <c r="V115" s="1"/>
    </row>
    <row r="116" spans="3:22" x14ac:dyDescent="0.25">
      <c r="C116" s="1">
        <v>5.0300000000000004E-19</v>
      </c>
      <c r="D116">
        <f t="shared" si="4"/>
        <v>1.8047235600000066E-40</v>
      </c>
      <c r="I116" s="1">
        <f t="shared" si="5"/>
        <v>1.2575000000000001E-19</v>
      </c>
      <c r="P116" s="1"/>
      <c r="V116" s="1"/>
    </row>
    <row r="117" spans="3:22" x14ac:dyDescent="0.25">
      <c r="C117" s="1">
        <v>4.8299999999999995E-19</v>
      </c>
      <c r="D117">
        <f t="shared" si="4"/>
        <v>7.113235600000004E-41</v>
      </c>
      <c r="I117" s="1">
        <f t="shared" si="5"/>
        <v>1.2074999999999999E-19</v>
      </c>
      <c r="P117" s="1"/>
      <c r="V117" s="1"/>
    </row>
    <row r="118" spans="3:22" x14ac:dyDescent="0.25">
      <c r="C118" s="1">
        <v>3.06E-19</v>
      </c>
      <c r="D118">
        <f t="shared" si="4"/>
        <v>1.0641985599999963E-40</v>
      </c>
      <c r="I118" s="1">
        <f t="shared" si="5"/>
        <v>1.02E-19</v>
      </c>
      <c r="P118" s="1"/>
      <c r="V118" s="1"/>
    </row>
    <row r="119" spans="3:22" x14ac:dyDescent="0.25">
      <c r="C119" s="1">
        <v>3.09E-19</v>
      </c>
      <c r="D119">
        <f t="shared" si="4"/>
        <v>8.6787855999999713E-41</v>
      </c>
      <c r="I119" s="1">
        <f t="shared" si="5"/>
        <v>1.03E-19</v>
      </c>
      <c r="P119" s="1"/>
      <c r="V119" s="1"/>
    </row>
    <row r="120" spans="3:22" x14ac:dyDescent="0.25">
      <c r="C120" s="1">
        <v>3.1299999999999999E-19</v>
      </c>
      <c r="D120">
        <f t="shared" si="4"/>
        <v>6.3722967111110866E-41</v>
      </c>
      <c r="I120" s="1">
        <f t="shared" si="5"/>
        <v>1.0433333333333333E-19</v>
      </c>
      <c r="P120" s="1"/>
      <c r="V120" s="1"/>
    </row>
    <row r="121" spans="3:22" x14ac:dyDescent="0.25">
      <c r="C121" s="1">
        <v>3.0399999999999998E-19</v>
      </c>
      <c r="D121">
        <f t="shared" si="4"/>
        <v>1.2061896711111085E-40</v>
      </c>
      <c r="I121" s="1">
        <f t="shared" si="5"/>
        <v>1.0133333333333333E-19</v>
      </c>
      <c r="P121" s="1"/>
      <c r="V121" s="1"/>
    </row>
    <row r="122" spans="3:22" x14ac:dyDescent="0.25">
      <c r="C122" s="1">
        <v>3.0500000000000001E-19</v>
      </c>
      <c r="D122">
        <f t="shared" si="4"/>
        <v>1.1340830044444413E-40</v>
      </c>
      <c r="I122" s="1">
        <f t="shared" si="5"/>
        <v>1.0166666666666667E-19</v>
      </c>
      <c r="P122" s="1"/>
      <c r="V122" s="1"/>
    </row>
    <row r="123" spans="3:22" x14ac:dyDescent="0.25">
      <c r="C123" s="1">
        <v>2.2299999999999999E-19</v>
      </c>
      <c r="D123">
        <f t="shared" si="4"/>
        <v>6.6585599999998603E-43</v>
      </c>
      <c r="I123" s="1">
        <f t="shared" si="5"/>
        <v>1.1149999999999999E-19</v>
      </c>
      <c r="P123" s="1"/>
      <c r="V123" s="1"/>
    </row>
    <row r="124" spans="3:22" x14ac:dyDescent="0.25">
      <c r="C124" s="1">
        <v>3.2100000000000002E-19</v>
      </c>
      <c r="D124">
        <f t="shared" si="4"/>
        <v>2.8259855999999836E-41</v>
      </c>
      <c r="I124" s="1">
        <f t="shared" si="5"/>
        <v>1.07E-19</v>
      </c>
      <c r="P124" s="1"/>
      <c r="V124" s="1"/>
    </row>
    <row r="125" spans="3:22" x14ac:dyDescent="0.25">
      <c r="C125" s="1">
        <v>3.3899999999999999E-19</v>
      </c>
      <c r="D125">
        <f t="shared" si="4"/>
        <v>4.6785600000001395E-43</v>
      </c>
      <c r="I125" s="1">
        <f t="shared" si="5"/>
        <v>1.13E-19</v>
      </c>
      <c r="P125" s="1"/>
      <c r="V125" s="1"/>
    </row>
    <row r="126" spans="3:22" x14ac:dyDescent="0.25">
      <c r="C126" s="1">
        <v>3.22E-19</v>
      </c>
      <c r="D126">
        <f t="shared" si="4"/>
        <v>2.4826967111110924E-41</v>
      </c>
      <c r="I126" s="1">
        <f t="shared" si="5"/>
        <v>1.0733333333333334E-19</v>
      </c>
      <c r="P126" s="1"/>
      <c r="V126" s="1"/>
    </row>
    <row r="127" spans="3:22" x14ac:dyDescent="0.25">
      <c r="C127" s="1">
        <v>3.03E-19</v>
      </c>
      <c r="D127">
        <f t="shared" si="4"/>
        <v>1.2805185599999979E-40</v>
      </c>
      <c r="I127" s="1">
        <f t="shared" si="5"/>
        <v>1.0099999999999999E-19</v>
      </c>
      <c r="P127" s="1"/>
      <c r="V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Dati</vt:lpstr>
      <vt:lpstr>Misura prova</vt:lpstr>
      <vt:lpstr>Misura (1)</vt:lpstr>
      <vt:lpstr>Misura (2)</vt:lpstr>
      <vt:lpstr>Misura (3)</vt:lpstr>
      <vt:lpstr>Misura (4)</vt:lpstr>
      <vt:lpstr>Misura (5)</vt:lpstr>
      <vt:lpstr>Misura (6)</vt:lpstr>
      <vt:lpstr>Misura (7)</vt:lpstr>
      <vt:lpstr>Misura (8)</vt:lpstr>
      <vt:lpstr>Misura (9)</vt:lpstr>
      <vt:lpstr>Misura (10)</vt:lpstr>
      <vt:lpstr>Misura (11)</vt:lpstr>
      <vt:lpstr>Misura (12)</vt:lpstr>
      <vt:lpstr>Misura (13)</vt:lpstr>
      <vt:lpstr>Misura (14)</vt:lpstr>
      <vt:lpstr>Misura (15)</vt:lpstr>
      <vt:lpstr>Misura (16)</vt:lpstr>
      <vt:lpstr>Misura (17)</vt:lpstr>
      <vt:lpstr>Misura (18)</vt:lpstr>
      <vt:lpstr>Misura (19)</vt:lpstr>
      <vt:lpstr>Misura (20)</vt:lpstr>
      <vt:lpstr>Misura (21)</vt:lpstr>
      <vt:lpstr>Misura (22)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2016-12-23T23:51:32Z</dcterms:modified>
</cp:coreProperties>
</file>