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6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7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18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19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20.xml" ContentType="application/vnd.openxmlformats-officedocument.drawing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21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22.xml" ContentType="application/vnd.openxmlformats-officedocument.drawing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23.xml" ContentType="application/vnd.openxmlformats-officedocument.drawing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ssa\Documents\Scuola\Corsi\Fisica\Laboratorio\LaboratorioOtticaElettronicaFModerna\Git\Millikan\Analysis\Excel\"/>
    </mc:Choice>
  </mc:AlternateContent>
  <bookViews>
    <workbookView xWindow="0" yWindow="0" windowWidth="28800" windowHeight="12210" firstSheet="20" activeTab="23"/>
  </bookViews>
  <sheets>
    <sheet name="Dati" sheetId="1" r:id="rId1"/>
    <sheet name="Misura di prova" sheetId="2" r:id="rId2"/>
    <sheet name="Misura (1)" sheetId="5" r:id="rId3"/>
    <sheet name="Misura (2)" sheetId="6" r:id="rId4"/>
    <sheet name="Misura (3)" sheetId="7" r:id="rId5"/>
    <sheet name="Misura (4)" sheetId="9" r:id="rId6"/>
    <sheet name="Misura (5)" sheetId="11" r:id="rId7"/>
    <sheet name="Misura (6)" sheetId="12" r:id="rId8"/>
    <sheet name="Misura (7)" sheetId="14" r:id="rId9"/>
    <sheet name="Misura (8)" sheetId="16" r:id="rId10"/>
    <sheet name="Misura (9)" sheetId="17" r:id="rId11"/>
    <sheet name="Misura (10)" sheetId="19" r:id="rId12"/>
    <sheet name="Misura (11)" sheetId="20" r:id="rId13"/>
    <sheet name="Misura (12)" sheetId="21" r:id="rId14"/>
    <sheet name="Misura (13)" sheetId="30" r:id="rId15"/>
    <sheet name="Misura (14)" sheetId="31" r:id="rId16"/>
    <sheet name="Misura (15)" sheetId="32" r:id="rId17"/>
    <sheet name="Misura (16)" sheetId="33" r:id="rId18"/>
    <sheet name="Misura (17)" sheetId="34" r:id="rId19"/>
    <sheet name="Misura (18)" sheetId="35" r:id="rId20"/>
    <sheet name="Misura (19)" sheetId="36" r:id="rId21"/>
    <sheet name="Misura (20)" sheetId="38" r:id="rId22"/>
    <sheet name="Misura (21)" sheetId="39" r:id="rId23"/>
    <sheet name="Misura (22)" sheetId="40" r:id="rId24"/>
  </sheets>
  <externalReferences>
    <externalReference r:id="rId25"/>
  </externalReferenc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5" i="38" l="1"/>
  <c r="C55" i="38"/>
  <c r="C55" i="40"/>
  <c r="C54" i="40"/>
  <c r="C53" i="40"/>
  <c r="C52" i="40"/>
  <c r="C51" i="40"/>
  <c r="C45" i="40"/>
  <c r="D45" i="40" s="1"/>
  <c r="E45" i="40" s="1"/>
  <c r="C44" i="40"/>
  <c r="C43" i="40"/>
  <c r="C42" i="40"/>
  <c r="C41" i="40"/>
  <c r="C26" i="40"/>
  <c r="C25" i="40"/>
  <c r="C24" i="40"/>
  <c r="C23" i="40"/>
  <c r="C22" i="40"/>
  <c r="E18" i="40"/>
  <c r="E16" i="40"/>
  <c r="C16" i="40"/>
  <c r="B13" i="40"/>
  <c r="C12" i="40"/>
  <c r="B12" i="40"/>
  <c r="D53" i="40" s="1"/>
  <c r="E53" i="40" s="1"/>
  <c r="A12" i="40"/>
  <c r="C11" i="40"/>
  <c r="B11" i="40"/>
  <c r="A11" i="40"/>
  <c r="C10" i="40"/>
  <c r="B10" i="40"/>
  <c r="A10" i="40"/>
  <c r="C9" i="40"/>
  <c r="A9" i="40"/>
  <c r="C8" i="40"/>
  <c r="A8" i="40"/>
  <c r="C7" i="40"/>
  <c r="B7" i="40"/>
  <c r="A7" i="40"/>
  <c r="C6" i="40"/>
  <c r="B6" i="40"/>
  <c r="A6" i="40"/>
  <c r="C5" i="40"/>
  <c r="A5" i="40"/>
  <c r="A1" i="40"/>
  <c r="C55" i="39"/>
  <c r="C54" i="39"/>
  <c r="C53" i="39"/>
  <c r="C52" i="39"/>
  <c r="C51" i="39"/>
  <c r="C45" i="39"/>
  <c r="C44" i="39"/>
  <c r="C43" i="39"/>
  <c r="C42" i="39"/>
  <c r="C41" i="39"/>
  <c r="C26" i="39"/>
  <c r="C25" i="39"/>
  <c r="C24" i="39"/>
  <c r="C23" i="39"/>
  <c r="C22" i="39"/>
  <c r="C28" i="39" s="1"/>
  <c r="E18" i="39"/>
  <c r="E16" i="39"/>
  <c r="C16" i="39"/>
  <c r="B13" i="39"/>
  <c r="C12" i="39"/>
  <c r="B12" i="39"/>
  <c r="D53" i="39" s="1"/>
  <c r="E53" i="39" s="1"/>
  <c r="A12" i="39"/>
  <c r="C11" i="39"/>
  <c r="B11" i="39"/>
  <c r="A11" i="39"/>
  <c r="C10" i="39"/>
  <c r="B10" i="39"/>
  <c r="A10" i="39"/>
  <c r="C9" i="39"/>
  <c r="A9" i="39"/>
  <c r="C8" i="39"/>
  <c r="A8" i="39"/>
  <c r="C7" i="39"/>
  <c r="B7" i="39"/>
  <c r="A7" i="39"/>
  <c r="C6" i="39"/>
  <c r="B6" i="39"/>
  <c r="A6" i="39"/>
  <c r="C5" i="39"/>
  <c r="A5" i="39"/>
  <c r="A1" i="39"/>
  <c r="C54" i="38"/>
  <c r="C53" i="38"/>
  <c r="C52" i="38"/>
  <c r="C51" i="38"/>
  <c r="C45" i="38"/>
  <c r="C44" i="38"/>
  <c r="C43" i="38"/>
  <c r="C42" i="38"/>
  <c r="C41" i="38"/>
  <c r="C26" i="38"/>
  <c r="C25" i="38"/>
  <c r="C24" i="38"/>
  <c r="C23" i="38"/>
  <c r="C22" i="38"/>
  <c r="C28" i="38" s="1"/>
  <c r="E18" i="38"/>
  <c r="E16" i="38"/>
  <c r="C16" i="38"/>
  <c r="B13" i="38"/>
  <c r="C12" i="38"/>
  <c r="B12" i="38"/>
  <c r="D53" i="38" s="1"/>
  <c r="E53" i="38" s="1"/>
  <c r="A12" i="38"/>
  <c r="C11" i="38"/>
  <c r="B11" i="38"/>
  <c r="A11" i="38"/>
  <c r="C10" i="38"/>
  <c r="B10" i="38"/>
  <c r="A10" i="38"/>
  <c r="C9" i="38"/>
  <c r="A9" i="38"/>
  <c r="C8" i="38"/>
  <c r="A8" i="38"/>
  <c r="C7" i="38"/>
  <c r="B7" i="38"/>
  <c r="A7" i="38"/>
  <c r="C6" i="38"/>
  <c r="B6" i="38"/>
  <c r="A6" i="38"/>
  <c r="C5" i="38"/>
  <c r="A5" i="38"/>
  <c r="A1" i="38"/>
  <c r="C55" i="36"/>
  <c r="C54" i="36"/>
  <c r="C53" i="36"/>
  <c r="C52" i="36"/>
  <c r="D52" i="36" s="1"/>
  <c r="E52" i="36" s="1"/>
  <c r="C51" i="36"/>
  <c r="C45" i="36"/>
  <c r="C44" i="36"/>
  <c r="C43" i="36"/>
  <c r="C42" i="36"/>
  <c r="C41" i="36"/>
  <c r="C26" i="36"/>
  <c r="C25" i="36"/>
  <c r="C24" i="36"/>
  <c r="C23" i="36"/>
  <c r="C22" i="36"/>
  <c r="E18" i="36"/>
  <c r="E16" i="36"/>
  <c r="C16" i="36"/>
  <c r="B13" i="36"/>
  <c r="C12" i="36"/>
  <c r="B12" i="36"/>
  <c r="D53" i="36" s="1"/>
  <c r="E53" i="36" s="1"/>
  <c r="A12" i="36"/>
  <c r="C11" i="36"/>
  <c r="B11" i="36"/>
  <c r="A11" i="36"/>
  <c r="C10" i="36"/>
  <c r="B10" i="36"/>
  <c r="A10" i="36"/>
  <c r="C9" i="36"/>
  <c r="A9" i="36"/>
  <c r="C8" i="36"/>
  <c r="A8" i="36"/>
  <c r="C7" i="36"/>
  <c r="B7" i="36"/>
  <c r="A7" i="36"/>
  <c r="C6" i="36"/>
  <c r="B6" i="36"/>
  <c r="A6" i="36"/>
  <c r="C5" i="36"/>
  <c r="A5" i="36"/>
  <c r="A1" i="36"/>
  <c r="C55" i="35"/>
  <c r="C54" i="35"/>
  <c r="C53" i="35"/>
  <c r="C52" i="35"/>
  <c r="C51" i="35"/>
  <c r="C45" i="35"/>
  <c r="C44" i="35"/>
  <c r="C43" i="35"/>
  <c r="C42" i="35"/>
  <c r="C41" i="35"/>
  <c r="D41" i="35" s="1"/>
  <c r="E41" i="35" s="1"/>
  <c r="C26" i="35"/>
  <c r="C25" i="35"/>
  <c r="C24" i="35"/>
  <c r="C23" i="35"/>
  <c r="C22" i="35"/>
  <c r="C28" i="35" s="1"/>
  <c r="E18" i="35"/>
  <c r="E16" i="35"/>
  <c r="C16" i="35"/>
  <c r="F18" i="35" s="1"/>
  <c r="B13" i="35"/>
  <c r="C12" i="35"/>
  <c r="B12" i="35"/>
  <c r="D53" i="35" s="1"/>
  <c r="E53" i="35" s="1"/>
  <c r="A12" i="35"/>
  <c r="C11" i="35"/>
  <c r="B11" i="35"/>
  <c r="A11" i="35"/>
  <c r="C10" i="35"/>
  <c r="B10" i="35"/>
  <c r="A10" i="35"/>
  <c r="C9" i="35"/>
  <c r="A9" i="35"/>
  <c r="C8" i="35"/>
  <c r="A8" i="35"/>
  <c r="C7" i="35"/>
  <c r="B7" i="35"/>
  <c r="A7" i="35"/>
  <c r="C6" i="35"/>
  <c r="B6" i="35"/>
  <c r="A6" i="35"/>
  <c r="C5" i="35"/>
  <c r="A5" i="35"/>
  <c r="A1" i="35"/>
  <c r="C55" i="34"/>
  <c r="C54" i="34"/>
  <c r="D54" i="34" s="1"/>
  <c r="E54" i="34" s="1"/>
  <c r="C53" i="34"/>
  <c r="C52" i="34"/>
  <c r="C51" i="34"/>
  <c r="C45" i="34"/>
  <c r="C44" i="34"/>
  <c r="C43" i="34"/>
  <c r="C42" i="34"/>
  <c r="C41" i="34"/>
  <c r="D41" i="34" s="1"/>
  <c r="E41" i="34" s="1"/>
  <c r="C26" i="34"/>
  <c r="C25" i="34"/>
  <c r="C24" i="34"/>
  <c r="C23" i="34"/>
  <c r="C22" i="34"/>
  <c r="E18" i="34"/>
  <c r="E16" i="34"/>
  <c r="C16" i="34"/>
  <c r="F18" i="34" s="1"/>
  <c r="B13" i="34"/>
  <c r="C12" i="34"/>
  <c r="B12" i="34"/>
  <c r="D53" i="34" s="1"/>
  <c r="E53" i="34" s="1"/>
  <c r="A12" i="34"/>
  <c r="C11" i="34"/>
  <c r="B11" i="34"/>
  <c r="A11" i="34"/>
  <c r="C10" i="34"/>
  <c r="B10" i="34"/>
  <c r="A10" i="34"/>
  <c r="C9" i="34"/>
  <c r="A9" i="34"/>
  <c r="C8" i="34"/>
  <c r="A8" i="34"/>
  <c r="C7" i="34"/>
  <c r="B7" i="34"/>
  <c r="A7" i="34"/>
  <c r="C6" i="34"/>
  <c r="B6" i="34"/>
  <c r="A6" i="34"/>
  <c r="C5" i="34"/>
  <c r="A5" i="34"/>
  <c r="A1" i="34"/>
  <c r="C55" i="33"/>
  <c r="C54" i="33"/>
  <c r="C53" i="33"/>
  <c r="C52" i="33"/>
  <c r="C51" i="33"/>
  <c r="C45" i="33"/>
  <c r="C44" i="33"/>
  <c r="C43" i="33"/>
  <c r="C42" i="33"/>
  <c r="C41" i="33"/>
  <c r="C26" i="33"/>
  <c r="C25" i="33"/>
  <c r="C24" i="33"/>
  <c r="C23" i="33"/>
  <c r="C22" i="33"/>
  <c r="C28" i="33" s="1"/>
  <c r="E18" i="33"/>
  <c r="E16" i="33"/>
  <c r="C16" i="33"/>
  <c r="B13" i="33"/>
  <c r="C12" i="33"/>
  <c r="B12" i="33"/>
  <c r="A12" i="33"/>
  <c r="C11" i="33"/>
  <c r="B11" i="33"/>
  <c r="A11" i="33"/>
  <c r="C10" i="33"/>
  <c r="B10" i="33"/>
  <c r="A10" i="33"/>
  <c r="C9" i="33"/>
  <c r="A9" i="33"/>
  <c r="C8" i="33"/>
  <c r="A8" i="33"/>
  <c r="C7" i="33"/>
  <c r="B7" i="33"/>
  <c r="A7" i="33"/>
  <c r="C6" i="33"/>
  <c r="B6" i="33"/>
  <c r="A6" i="33"/>
  <c r="C5" i="33"/>
  <c r="A5" i="33"/>
  <c r="A1" i="33"/>
  <c r="C55" i="32"/>
  <c r="C54" i="32"/>
  <c r="D54" i="32" s="1"/>
  <c r="E54" i="32" s="1"/>
  <c r="C53" i="32"/>
  <c r="C52" i="32"/>
  <c r="C51" i="32"/>
  <c r="C45" i="32"/>
  <c r="C44" i="32"/>
  <c r="C43" i="32"/>
  <c r="C42" i="32"/>
  <c r="C41" i="32"/>
  <c r="D41" i="32" s="1"/>
  <c r="E41" i="32" s="1"/>
  <c r="C26" i="32"/>
  <c r="C25" i="32"/>
  <c r="C24" i="32"/>
  <c r="C23" i="32"/>
  <c r="C22" i="32"/>
  <c r="E18" i="32"/>
  <c r="E16" i="32"/>
  <c r="C16" i="32"/>
  <c r="B13" i="32"/>
  <c r="C12" i="32"/>
  <c r="B12" i="32"/>
  <c r="D53" i="32" s="1"/>
  <c r="E53" i="32" s="1"/>
  <c r="A12" i="32"/>
  <c r="C11" i="32"/>
  <c r="B11" i="32"/>
  <c r="A11" i="32"/>
  <c r="C10" i="32"/>
  <c r="B10" i="32"/>
  <c r="A10" i="32"/>
  <c r="C9" i="32"/>
  <c r="A9" i="32"/>
  <c r="C8" i="32"/>
  <c r="A8" i="32"/>
  <c r="C7" i="32"/>
  <c r="B7" i="32"/>
  <c r="A7" i="32"/>
  <c r="C6" i="32"/>
  <c r="B6" i="32"/>
  <c r="A6" i="32"/>
  <c r="C5" i="32"/>
  <c r="A5" i="32"/>
  <c r="A1" i="32"/>
  <c r="C55" i="31"/>
  <c r="C54" i="31"/>
  <c r="C53" i="31"/>
  <c r="C52" i="31"/>
  <c r="C51" i="31"/>
  <c r="C45" i="31"/>
  <c r="C44" i="31"/>
  <c r="C43" i="31"/>
  <c r="C42" i="31"/>
  <c r="C41" i="31"/>
  <c r="C26" i="31"/>
  <c r="C25" i="31"/>
  <c r="C24" i="31"/>
  <c r="C23" i="31"/>
  <c r="C22" i="31"/>
  <c r="C28" i="31" s="1"/>
  <c r="E18" i="31"/>
  <c r="E16" i="31"/>
  <c r="C16" i="31"/>
  <c r="B13" i="31"/>
  <c r="C12" i="31"/>
  <c r="B12" i="31"/>
  <c r="D53" i="31" s="1"/>
  <c r="E53" i="31" s="1"/>
  <c r="A12" i="31"/>
  <c r="C11" i="31"/>
  <c r="B11" i="31"/>
  <c r="A11" i="31"/>
  <c r="C10" i="31"/>
  <c r="B10" i="31"/>
  <c r="A10" i="31"/>
  <c r="C9" i="31"/>
  <c r="A9" i="31"/>
  <c r="C8" i="31"/>
  <c r="A8" i="31"/>
  <c r="C7" i="31"/>
  <c r="B7" i="31"/>
  <c r="A7" i="31"/>
  <c r="C6" i="31"/>
  <c r="B6" i="31"/>
  <c r="A6" i="31"/>
  <c r="C5" i="31"/>
  <c r="A5" i="31"/>
  <c r="A1" i="31"/>
  <c r="C55" i="30"/>
  <c r="C54" i="30"/>
  <c r="C53" i="30"/>
  <c r="C52" i="30"/>
  <c r="C51" i="30"/>
  <c r="C45" i="30"/>
  <c r="C44" i="30"/>
  <c r="C43" i="30"/>
  <c r="C42" i="30"/>
  <c r="C41" i="30"/>
  <c r="C26" i="30"/>
  <c r="C25" i="30"/>
  <c r="C24" i="30"/>
  <c r="C23" i="30"/>
  <c r="C22" i="30"/>
  <c r="E18" i="30"/>
  <c r="E16" i="30"/>
  <c r="C16" i="30"/>
  <c r="B13" i="30"/>
  <c r="C12" i="30"/>
  <c r="B12" i="30"/>
  <c r="D53" i="30" s="1"/>
  <c r="E53" i="30" s="1"/>
  <c r="A12" i="30"/>
  <c r="C11" i="30"/>
  <c r="B11" i="30"/>
  <c r="A11" i="30"/>
  <c r="C10" i="30"/>
  <c r="B10" i="30"/>
  <c r="A10" i="30"/>
  <c r="C9" i="30"/>
  <c r="A9" i="30"/>
  <c r="C8" i="30"/>
  <c r="A8" i="30"/>
  <c r="C7" i="30"/>
  <c r="B7" i="30"/>
  <c r="A7" i="30"/>
  <c r="C6" i="30"/>
  <c r="B6" i="30"/>
  <c r="A6" i="30"/>
  <c r="C5" i="30"/>
  <c r="A5" i="30"/>
  <c r="A1" i="30"/>
  <c r="C55" i="21"/>
  <c r="C54" i="21"/>
  <c r="C53" i="21"/>
  <c r="C52" i="21"/>
  <c r="C51" i="21"/>
  <c r="C45" i="21"/>
  <c r="C44" i="21"/>
  <c r="C43" i="21"/>
  <c r="C42" i="21"/>
  <c r="C41" i="21"/>
  <c r="D41" i="21" s="1"/>
  <c r="E41" i="21" s="1"/>
  <c r="C26" i="21"/>
  <c r="C25" i="21"/>
  <c r="C24" i="21"/>
  <c r="C23" i="21"/>
  <c r="C22" i="21"/>
  <c r="E18" i="21"/>
  <c r="E16" i="21"/>
  <c r="C16" i="21"/>
  <c r="F18" i="21" s="1"/>
  <c r="B13" i="21"/>
  <c r="C12" i="21"/>
  <c r="B12" i="21"/>
  <c r="D53" i="21" s="1"/>
  <c r="E53" i="21" s="1"/>
  <c r="A12" i="21"/>
  <c r="C11" i="21"/>
  <c r="B11" i="21"/>
  <c r="A11" i="21"/>
  <c r="C10" i="21"/>
  <c r="B10" i="21"/>
  <c r="A10" i="21"/>
  <c r="C9" i="21"/>
  <c r="A9" i="21"/>
  <c r="C8" i="21"/>
  <c r="A8" i="21"/>
  <c r="C7" i="21"/>
  <c r="B7" i="21"/>
  <c r="A7" i="21"/>
  <c r="C6" i="21"/>
  <c r="B6" i="21"/>
  <c r="A6" i="21"/>
  <c r="C5" i="21"/>
  <c r="A5" i="21"/>
  <c r="A1" i="21"/>
  <c r="C55" i="20"/>
  <c r="C54" i="20"/>
  <c r="C53" i="20"/>
  <c r="C52" i="20"/>
  <c r="C51" i="20"/>
  <c r="C45" i="20"/>
  <c r="C44" i="20"/>
  <c r="C43" i="20"/>
  <c r="C42" i="20"/>
  <c r="D42" i="20" s="1"/>
  <c r="E42" i="20" s="1"/>
  <c r="C41" i="20"/>
  <c r="C26" i="20"/>
  <c r="C25" i="20"/>
  <c r="C24" i="20"/>
  <c r="C23" i="20"/>
  <c r="C22" i="20"/>
  <c r="E18" i="20"/>
  <c r="E16" i="20"/>
  <c r="C16" i="20"/>
  <c r="F18" i="20" s="1"/>
  <c r="B13" i="20"/>
  <c r="C12" i="20"/>
  <c r="B12" i="20"/>
  <c r="D53" i="20" s="1"/>
  <c r="E53" i="20" s="1"/>
  <c r="A12" i="20"/>
  <c r="C11" i="20"/>
  <c r="B11" i="20"/>
  <c r="A11" i="20"/>
  <c r="C10" i="20"/>
  <c r="B10" i="20"/>
  <c r="A10" i="20"/>
  <c r="C9" i="20"/>
  <c r="A9" i="20"/>
  <c r="C8" i="20"/>
  <c r="A8" i="20"/>
  <c r="C7" i="20"/>
  <c r="B7" i="20"/>
  <c r="A7" i="20"/>
  <c r="C6" i="20"/>
  <c r="B6" i="20"/>
  <c r="A6" i="20"/>
  <c r="C5" i="20"/>
  <c r="A5" i="20"/>
  <c r="A1" i="20"/>
  <c r="C55" i="19"/>
  <c r="C54" i="19"/>
  <c r="C53" i="19"/>
  <c r="C52" i="19"/>
  <c r="C51" i="19"/>
  <c r="C45" i="19"/>
  <c r="C44" i="19"/>
  <c r="C43" i="19"/>
  <c r="C42" i="19"/>
  <c r="C41" i="19"/>
  <c r="C26" i="19"/>
  <c r="C25" i="19"/>
  <c r="C24" i="19"/>
  <c r="C23" i="19"/>
  <c r="C22" i="19"/>
  <c r="C28" i="19" s="1"/>
  <c r="E18" i="19"/>
  <c r="E16" i="19"/>
  <c r="C16" i="19"/>
  <c r="F18" i="19" s="1"/>
  <c r="B13" i="19"/>
  <c r="C12" i="19"/>
  <c r="B12" i="19"/>
  <c r="D53" i="19" s="1"/>
  <c r="E53" i="19" s="1"/>
  <c r="A12" i="19"/>
  <c r="C11" i="19"/>
  <c r="B11" i="19"/>
  <c r="A11" i="19"/>
  <c r="C10" i="19"/>
  <c r="B10" i="19"/>
  <c r="A10" i="19"/>
  <c r="C9" i="19"/>
  <c r="A9" i="19"/>
  <c r="C8" i="19"/>
  <c r="A8" i="19"/>
  <c r="C7" i="19"/>
  <c r="B7" i="19"/>
  <c r="A7" i="19"/>
  <c r="C6" i="19"/>
  <c r="B6" i="19"/>
  <c r="A6" i="19"/>
  <c r="C5" i="19"/>
  <c r="A5" i="19"/>
  <c r="A1" i="19"/>
  <c r="C55" i="17"/>
  <c r="C54" i="17"/>
  <c r="D54" i="17" s="1"/>
  <c r="E54" i="17" s="1"/>
  <c r="C53" i="17"/>
  <c r="C52" i="17"/>
  <c r="C51" i="17"/>
  <c r="C45" i="17"/>
  <c r="C44" i="17"/>
  <c r="C43" i="17"/>
  <c r="C42" i="17"/>
  <c r="C41" i="17"/>
  <c r="D41" i="17" s="1"/>
  <c r="E41" i="17" s="1"/>
  <c r="C26" i="17"/>
  <c r="C25" i="17"/>
  <c r="C24" i="17"/>
  <c r="C23" i="17"/>
  <c r="C22" i="17"/>
  <c r="C27" i="17" s="1"/>
  <c r="E18" i="17"/>
  <c r="E16" i="17"/>
  <c r="C16" i="17"/>
  <c r="B13" i="17"/>
  <c r="C12" i="17"/>
  <c r="B12" i="17"/>
  <c r="D53" i="17" s="1"/>
  <c r="E53" i="17" s="1"/>
  <c r="A12" i="17"/>
  <c r="C11" i="17"/>
  <c r="B11" i="17"/>
  <c r="A11" i="17"/>
  <c r="C10" i="17"/>
  <c r="B10" i="17"/>
  <c r="A10" i="17"/>
  <c r="C9" i="17"/>
  <c r="A9" i="17"/>
  <c r="C8" i="17"/>
  <c r="A8" i="17"/>
  <c r="C7" i="17"/>
  <c r="B7" i="17"/>
  <c r="A7" i="17"/>
  <c r="C6" i="17"/>
  <c r="B6" i="17"/>
  <c r="A6" i="17"/>
  <c r="C5" i="17"/>
  <c r="A5" i="17"/>
  <c r="A1" i="17"/>
  <c r="C55" i="16"/>
  <c r="C54" i="16"/>
  <c r="C53" i="16"/>
  <c r="C52" i="16"/>
  <c r="C51" i="16"/>
  <c r="C45" i="16"/>
  <c r="C44" i="16"/>
  <c r="C43" i="16"/>
  <c r="C42" i="16"/>
  <c r="C41" i="16"/>
  <c r="C26" i="16"/>
  <c r="C25" i="16"/>
  <c r="C24" i="16"/>
  <c r="C23" i="16"/>
  <c r="C22" i="16"/>
  <c r="C28" i="16" s="1"/>
  <c r="E18" i="16"/>
  <c r="E16" i="16"/>
  <c r="C16" i="16"/>
  <c r="B13" i="16"/>
  <c r="C12" i="16"/>
  <c r="B12" i="16"/>
  <c r="D53" i="16" s="1"/>
  <c r="E53" i="16" s="1"/>
  <c r="A12" i="16"/>
  <c r="C11" i="16"/>
  <c r="B11" i="16"/>
  <c r="A11" i="16"/>
  <c r="C10" i="16"/>
  <c r="B10" i="16"/>
  <c r="A10" i="16"/>
  <c r="C9" i="16"/>
  <c r="A9" i="16"/>
  <c r="C8" i="16"/>
  <c r="A8" i="16"/>
  <c r="C7" i="16"/>
  <c r="B7" i="16"/>
  <c r="A7" i="16"/>
  <c r="C6" i="16"/>
  <c r="B6" i="16"/>
  <c r="A6" i="16"/>
  <c r="C5" i="16"/>
  <c r="A5" i="16"/>
  <c r="A1" i="16"/>
  <c r="C55" i="14"/>
  <c r="C54" i="14"/>
  <c r="C53" i="14"/>
  <c r="C52" i="14"/>
  <c r="C51" i="14"/>
  <c r="C45" i="14"/>
  <c r="C44" i="14"/>
  <c r="C43" i="14"/>
  <c r="C42" i="14"/>
  <c r="C41" i="14"/>
  <c r="C26" i="14"/>
  <c r="C25" i="14"/>
  <c r="C24" i="14"/>
  <c r="C23" i="14"/>
  <c r="C22" i="14"/>
  <c r="C28" i="14" s="1"/>
  <c r="E18" i="14"/>
  <c r="E16" i="14"/>
  <c r="C16" i="14"/>
  <c r="B13" i="14"/>
  <c r="C12" i="14"/>
  <c r="B12" i="14"/>
  <c r="D53" i="14" s="1"/>
  <c r="E53" i="14" s="1"/>
  <c r="A12" i="14"/>
  <c r="C11" i="14"/>
  <c r="B11" i="14"/>
  <c r="A11" i="14"/>
  <c r="C10" i="14"/>
  <c r="B10" i="14"/>
  <c r="A10" i="14"/>
  <c r="C9" i="14"/>
  <c r="A9" i="14"/>
  <c r="C8" i="14"/>
  <c r="A8" i="14"/>
  <c r="C7" i="14"/>
  <c r="B7" i="14"/>
  <c r="A7" i="14"/>
  <c r="C6" i="14"/>
  <c r="B6" i="14"/>
  <c r="A6" i="14"/>
  <c r="C5" i="14"/>
  <c r="A5" i="14"/>
  <c r="A1" i="14"/>
  <c r="C55" i="12"/>
  <c r="C54" i="12"/>
  <c r="C53" i="12"/>
  <c r="C52" i="12"/>
  <c r="D52" i="12" s="1"/>
  <c r="E52" i="12" s="1"/>
  <c r="C51" i="12"/>
  <c r="C45" i="12"/>
  <c r="C44" i="12"/>
  <c r="C43" i="12"/>
  <c r="C42" i="12"/>
  <c r="C41" i="12"/>
  <c r="C26" i="12"/>
  <c r="C25" i="12"/>
  <c r="C24" i="12"/>
  <c r="C23" i="12"/>
  <c r="C22" i="12"/>
  <c r="C28" i="12" s="1"/>
  <c r="E18" i="12"/>
  <c r="E16" i="12"/>
  <c r="C16" i="12"/>
  <c r="B13" i="12"/>
  <c r="C12" i="12"/>
  <c r="B12" i="12"/>
  <c r="D53" i="12" s="1"/>
  <c r="E53" i="12" s="1"/>
  <c r="A12" i="12"/>
  <c r="C11" i="12"/>
  <c r="B11" i="12"/>
  <c r="A11" i="12"/>
  <c r="C10" i="12"/>
  <c r="B10" i="12"/>
  <c r="A10" i="12"/>
  <c r="C9" i="12"/>
  <c r="A9" i="12"/>
  <c r="C8" i="12"/>
  <c r="A8" i="12"/>
  <c r="C7" i="12"/>
  <c r="B7" i="12"/>
  <c r="A7" i="12"/>
  <c r="C6" i="12"/>
  <c r="B6" i="12"/>
  <c r="A6" i="12"/>
  <c r="C5" i="12"/>
  <c r="A5" i="12"/>
  <c r="A1" i="12"/>
  <c r="C55" i="11"/>
  <c r="C54" i="11"/>
  <c r="C53" i="11"/>
  <c r="C52" i="11"/>
  <c r="C51" i="11"/>
  <c r="C45" i="11"/>
  <c r="C44" i="11"/>
  <c r="C43" i="11"/>
  <c r="C42" i="11"/>
  <c r="C41" i="11"/>
  <c r="C26" i="11"/>
  <c r="C25" i="11"/>
  <c r="C24" i="11"/>
  <c r="C23" i="11"/>
  <c r="C28" i="11" s="1"/>
  <c r="C22" i="11"/>
  <c r="E18" i="11"/>
  <c r="E16" i="11"/>
  <c r="C16" i="11"/>
  <c r="B13" i="11"/>
  <c r="C12" i="11"/>
  <c r="B12" i="11"/>
  <c r="D52" i="11" s="1"/>
  <c r="E52" i="11" s="1"/>
  <c r="A12" i="11"/>
  <c r="C11" i="11"/>
  <c r="B11" i="11"/>
  <c r="A11" i="11"/>
  <c r="C10" i="11"/>
  <c r="B10" i="11"/>
  <c r="A10" i="11"/>
  <c r="C9" i="11"/>
  <c r="A9" i="11"/>
  <c r="C8" i="11"/>
  <c r="A8" i="11"/>
  <c r="C7" i="11"/>
  <c r="B7" i="11"/>
  <c r="A7" i="11"/>
  <c r="C6" i="11"/>
  <c r="B6" i="11"/>
  <c r="A6" i="11"/>
  <c r="C5" i="11"/>
  <c r="A5" i="11"/>
  <c r="A1" i="11"/>
  <c r="C55" i="9"/>
  <c r="C54" i="9"/>
  <c r="C53" i="9"/>
  <c r="C52" i="9"/>
  <c r="C51" i="9"/>
  <c r="C45" i="9"/>
  <c r="C44" i="9"/>
  <c r="C43" i="9"/>
  <c r="C42" i="9"/>
  <c r="C41" i="9"/>
  <c r="C26" i="9"/>
  <c r="C25" i="9"/>
  <c r="C24" i="9"/>
  <c r="C23" i="9"/>
  <c r="C22" i="9"/>
  <c r="E18" i="9"/>
  <c r="E16" i="9"/>
  <c r="C16" i="9"/>
  <c r="F18" i="9" s="1"/>
  <c r="B13" i="9"/>
  <c r="C12" i="9"/>
  <c r="B12" i="9"/>
  <c r="D53" i="9" s="1"/>
  <c r="E53" i="9" s="1"/>
  <c r="A12" i="9"/>
  <c r="C11" i="9"/>
  <c r="B11" i="9"/>
  <c r="A11" i="9"/>
  <c r="C10" i="9"/>
  <c r="B10" i="9"/>
  <c r="A10" i="9"/>
  <c r="C9" i="9"/>
  <c r="A9" i="9"/>
  <c r="C8" i="9"/>
  <c r="A8" i="9"/>
  <c r="C7" i="9"/>
  <c r="B7" i="9"/>
  <c r="A7" i="9"/>
  <c r="C6" i="9"/>
  <c r="B6" i="9"/>
  <c r="A6" i="9"/>
  <c r="C5" i="9"/>
  <c r="A5" i="9"/>
  <c r="A1" i="9"/>
  <c r="B5" i="5"/>
  <c r="B5" i="6"/>
  <c r="E18" i="6" s="1"/>
  <c r="C55" i="7"/>
  <c r="C54" i="7"/>
  <c r="C53" i="7"/>
  <c r="C52" i="7"/>
  <c r="C51" i="7"/>
  <c r="C45" i="7"/>
  <c r="C44" i="7"/>
  <c r="C43" i="7"/>
  <c r="C42" i="7"/>
  <c r="C41" i="7"/>
  <c r="C26" i="7"/>
  <c r="C25" i="7"/>
  <c r="C24" i="7"/>
  <c r="C23" i="7"/>
  <c r="C22" i="7"/>
  <c r="C28" i="7" s="1"/>
  <c r="E18" i="7"/>
  <c r="E16" i="7"/>
  <c r="C16" i="7"/>
  <c r="B13" i="7"/>
  <c r="C12" i="7"/>
  <c r="B12" i="7"/>
  <c r="D24" i="7" s="1"/>
  <c r="E24" i="7" s="1"/>
  <c r="A12" i="7"/>
  <c r="C11" i="7"/>
  <c r="B11" i="7"/>
  <c r="A11" i="7"/>
  <c r="C10" i="7"/>
  <c r="B10" i="7"/>
  <c r="A10" i="7"/>
  <c r="C9" i="7"/>
  <c r="A9" i="7"/>
  <c r="C8" i="7"/>
  <c r="A8" i="7"/>
  <c r="C7" i="7"/>
  <c r="B7" i="7"/>
  <c r="A7" i="7"/>
  <c r="C6" i="7"/>
  <c r="B6" i="7"/>
  <c r="A6" i="7"/>
  <c r="C5" i="7"/>
  <c r="A5" i="7"/>
  <c r="A1" i="7"/>
  <c r="C55" i="6"/>
  <c r="C54" i="6"/>
  <c r="C53" i="6"/>
  <c r="C52" i="6"/>
  <c r="C51" i="6"/>
  <c r="C45" i="6"/>
  <c r="C44" i="6"/>
  <c r="C43" i="6"/>
  <c r="C42" i="6"/>
  <c r="C41" i="6"/>
  <c r="C26" i="6"/>
  <c r="C25" i="6"/>
  <c r="C24" i="6"/>
  <c r="C23" i="6"/>
  <c r="C22" i="6"/>
  <c r="C28" i="6" s="1"/>
  <c r="E16" i="6"/>
  <c r="C16" i="6"/>
  <c r="B13" i="6"/>
  <c r="C12" i="6"/>
  <c r="B12" i="6"/>
  <c r="D53" i="6" s="1"/>
  <c r="E53" i="6" s="1"/>
  <c r="A12" i="6"/>
  <c r="C11" i="6"/>
  <c r="B11" i="6"/>
  <c r="A11" i="6"/>
  <c r="C10" i="6"/>
  <c r="B10" i="6"/>
  <c r="A10" i="6"/>
  <c r="C9" i="6"/>
  <c r="A9" i="6"/>
  <c r="C8" i="6"/>
  <c r="A8" i="6"/>
  <c r="C7" i="6"/>
  <c r="B7" i="6"/>
  <c r="A7" i="6"/>
  <c r="C6" i="6"/>
  <c r="B6" i="6"/>
  <c r="A6" i="6"/>
  <c r="C5" i="6"/>
  <c r="A5" i="6"/>
  <c r="A1" i="6"/>
  <c r="C51" i="5"/>
  <c r="D51" i="5" s="1"/>
  <c r="E51" i="5" s="1"/>
  <c r="C52" i="5"/>
  <c r="C53" i="5"/>
  <c r="C54" i="5"/>
  <c r="C55" i="5"/>
  <c r="C41" i="5"/>
  <c r="C45" i="5"/>
  <c r="C44" i="5"/>
  <c r="C43" i="5"/>
  <c r="C42" i="5"/>
  <c r="C26" i="5"/>
  <c r="C25" i="5"/>
  <c r="C24" i="5"/>
  <c r="C23" i="5"/>
  <c r="C22" i="5"/>
  <c r="E18" i="5"/>
  <c r="E16" i="5"/>
  <c r="C16" i="5"/>
  <c r="B13" i="5"/>
  <c r="C12" i="5"/>
  <c r="B12" i="5"/>
  <c r="D53" i="5" s="1"/>
  <c r="E53" i="5" s="1"/>
  <c r="A12" i="5"/>
  <c r="C11" i="5"/>
  <c r="B11" i="5"/>
  <c r="A11" i="5"/>
  <c r="C10" i="5"/>
  <c r="B10" i="5"/>
  <c r="A10" i="5"/>
  <c r="C9" i="5"/>
  <c r="A9" i="5"/>
  <c r="C8" i="5"/>
  <c r="A8" i="5"/>
  <c r="C7" i="5"/>
  <c r="B7" i="5"/>
  <c r="A7" i="5"/>
  <c r="C6" i="5"/>
  <c r="B6" i="5"/>
  <c r="A6" i="5"/>
  <c r="C5" i="5"/>
  <c r="A5" i="5"/>
  <c r="A1" i="5"/>
  <c r="E18" i="2"/>
  <c r="C55" i="2"/>
  <c r="C54" i="2"/>
  <c r="C53" i="2"/>
  <c r="C52" i="2"/>
  <c r="C51" i="2"/>
  <c r="C45" i="2"/>
  <c r="C44" i="2"/>
  <c r="C43" i="2"/>
  <c r="C42" i="2"/>
  <c r="C41" i="2"/>
  <c r="D55" i="5" l="1"/>
  <c r="E55" i="5" s="1"/>
  <c r="D42" i="9"/>
  <c r="E42" i="9" s="1"/>
  <c r="F18" i="11"/>
  <c r="D45" i="17"/>
  <c r="E45" i="17" s="1"/>
  <c r="D54" i="21"/>
  <c r="E54" i="21" s="1"/>
  <c r="D45" i="32"/>
  <c r="E45" i="32" s="1"/>
  <c r="D54" i="35"/>
  <c r="E54" i="35" s="1"/>
  <c r="D51" i="2"/>
  <c r="E51" i="2" s="1"/>
  <c r="D45" i="19"/>
  <c r="E45" i="19" s="1"/>
  <c r="F18" i="30"/>
  <c r="F18" i="36"/>
  <c r="D41" i="36"/>
  <c r="E41" i="36" s="1"/>
  <c r="D54" i="36"/>
  <c r="E54" i="36" s="1"/>
  <c r="F18" i="14"/>
  <c r="D41" i="14"/>
  <c r="E41" i="14" s="1"/>
  <c r="D54" i="14"/>
  <c r="E54" i="14" s="1"/>
  <c r="D42" i="30"/>
  <c r="E42" i="30" s="1"/>
  <c r="D55" i="30"/>
  <c r="E55" i="30" s="1"/>
  <c r="F18" i="31"/>
  <c r="D41" i="31"/>
  <c r="E41" i="31" s="1"/>
  <c r="D54" i="31"/>
  <c r="E54" i="31" s="1"/>
  <c r="D45" i="34"/>
  <c r="E45" i="34" s="1"/>
  <c r="D42" i="36"/>
  <c r="E42" i="36" s="1"/>
  <c r="D55" i="36"/>
  <c r="E55" i="36" s="1"/>
  <c r="F18" i="38"/>
  <c r="D41" i="38"/>
  <c r="E41" i="38" s="1"/>
  <c r="D54" i="38"/>
  <c r="E54" i="38" s="1"/>
  <c r="F18" i="39"/>
  <c r="F18" i="5"/>
  <c r="D42" i="5"/>
  <c r="E42" i="5" s="1"/>
  <c r="D43" i="12"/>
  <c r="E43" i="12" s="1"/>
  <c r="F18" i="16"/>
  <c r="F18" i="32"/>
  <c r="D43" i="36"/>
  <c r="E43" i="36" s="1"/>
  <c r="F18" i="40"/>
  <c r="D41" i="40"/>
  <c r="E41" i="40" s="1"/>
  <c r="D54" i="40"/>
  <c r="E54" i="40" s="1"/>
  <c r="F18" i="7"/>
  <c r="D51" i="9"/>
  <c r="E51" i="9" s="1"/>
  <c r="F18" i="17"/>
  <c r="D45" i="21"/>
  <c r="E45" i="21" s="1"/>
  <c r="D45" i="35"/>
  <c r="E45" i="35" s="1"/>
  <c r="F18" i="6"/>
  <c r="D41" i="19"/>
  <c r="E41" i="19" s="1"/>
  <c r="D54" i="19"/>
  <c r="E54" i="19" s="1"/>
  <c r="F18" i="33"/>
  <c r="D45" i="36"/>
  <c r="E45" i="36" s="1"/>
  <c r="D45" i="14"/>
  <c r="E45" i="14" s="1"/>
  <c r="D51" i="30"/>
  <c r="E51" i="30" s="1"/>
  <c r="D45" i="31"/>
  <c r="E45" i="31" s="1"/>
  <c r="D51" i="36"/>
  <c r="E51" i="36" s="1"/>
  <c r="D45" i="38"/>
  <c r="E45" i="38" s="1"/>
  <c r="C28" i="40"/>
  <c r="D42" i="40"/>
  <c r="E42" i="40" s="1"/>
  <c r="D51" i="40"/>
  <c r="E51" i="40" s="1"/>
  <c r="D55" i="40"/>
  <c r="E55" i="40" s="1"/>
  <c r="D43" i="40"/>
  <c r="E43" i="40" s="1"/>
  <c r="D52" i="40"/>
  <c r="E52" i="40" s="1"/>
  <c r="C27" i="40"/>
  <c r="D22" i="40"/>
  <c r="D23" i="40"/>
  <c r="E23" i="40" s="1"/>
  <c r="D24" i="40"/>
  <c r="E24" i="40" s="1"/>
  <c r="D25" i="40"/>
  <c r="E25" i="40" s="1"/>
  <c r="D26" i="40"/>
  <c r="E26" i="40" s="1"/>
  <c r="D44" i="40"/>
  <c r="E44" i="40" s="1"/>
  <c r="D41" i="39"/>
  <c r="E41" i="39" s="1"/>
  <c r="D45" i="39"/>
  <c r="E45" i="39" s="1"/>
  <c r="D54" i="39"/>
  <c r="E54" i="39" s="1"/>
  <c r="D42" i="39"/>
  <c r="E42" i="39" s="1"/>
  <c r="D51" i="39"/>
  <c r="E51" i="39" s="1"/>
  <c r="D55" i="39"/>
  <c r="E55" i="39" s="1"/>
  <c r="D43" i="39"/>
  <c r="E43" i="39" s="1"/>
  <c r="D52" i="39"/>
  <c r="E52" i="39" s="1"/>
  <c r="C27" i="39"/>
  <c r="D22" i="39"/>
  <c r="H22" i="39" s="1"/>
  <c r="D23" i="39"/>
  <c r="E23" i="39" s="1"/>
  <c r="D24" i="39"/>
  <c r="E24" i="39" s="1"/>
  <c r="D25" i="39"/>
  <c r="E25" i="39" s="1"/>
  <c r="D26" i="39"/>
  <c r="E26" i="39" s="1"/>
  <c r="D44" i="39"/>
  <c r="E44" i="39" s="1"/>
  <c r="D42" i="38"/>
  <c r="E42" i="38" s="1"/>
  <c r="D51" i="38"/>
  <c r="E51" i="38" s="1"/>
  <c r="D55" i="38"/>
  <c r="E55" i="38" s="1"/>
  <c r="D43" i="38"/>
  <c r="E43" i="38" s="1"/>
  <c r="D52" i="38"/>
  <c r="E52" i="38" s="1"/>
  <c r="C27" i="38"/>
  <c r="D22" i="38"/>
  <c r="G22" i="38" s="1"/>
  <c r="D23" i="38"/>
  <c r="E23" i="38" s="1"/>
  <c r="D24" i="38"/>
  <c r="E24" i="38" s="1"/>
  <c r="D25" i="38"/>
  <c r="E25" i="38" s="1"/>
  <c r="D26" i="38"/>
  <c r="E26" i="38" s="1"/>
  <c r="D44" i="38"/>
  <c r="E44" i="38" s="1"/>
  <c r="C28" i="36"/>
  <c r="C27" i="36"/>
  <c r="D22" i="36"/>
  <c r="H22" i="36" s="1"/>
  <c r="D23" i="36"/>
  <c r="E23" i="36" s="1"/>
  <c r="D24" i="36"/>
  <c r="E24" i="36" s="1"/>
  <c r="D25" i="36"/>
  <c r="E25" i="36" s="1"/>
  <c r="D26" i="36"/>
  <c r="H26" i="36" s="1"/>
  <c r="D44" i="36"/>
  <c r="E44" i="36" s="1"/>
  <c r="D42" i="35"/>
  <c r="E42" i="35" s="1"/>
  <c r="D51" i="35"/>
  <c r="E51" i="35" s="1"/>
  <c r="D55" i="35"/>
  <c r="E55" i="35" s="1"/>
  <c r="D43" i="35"/>
  <c r="E43" i="35" s="1"/>
  <c r="D52" i="35"/>
  <c r="E52" i="35" s="1"/>
  <c r="C27" i="35"/>
  <c r="D22" i="35"/>
  <c r="F22" i="35" s="1"/>
  <c r="D23" i="35"/>
  <c r="E23" i="35" s="1"/>
  <c r="D24" i="35"/>
  <c r="E24" i="35" s="1"/>
  <c r="D25" i="35"/>
  <c r="E25" i="35" s="1"/>
  <c r="D26" i="35"/>
  <c r="E26" i="35" s="1"/>
  <c r="D44" i="35"/>
  <c r="E44" i="35" s="1"/>
  <c r="C28" i="34"/>
  <c r="D42" i="34"/>
  <c r="E42" i="34" s="1"/>
  <c r="D51" i="34"/>
  <c r="E51" i="34" s="1"/>
  <c r="D55" i="34"/>
  <c r="E55" i="34" s="1"/>
  <c r="D43" i="34"/>
  <c r="E43" i="34" s="1"/>
  <c r="D52" i="34"/>
  <c r="E52" i="34" s="1"/>
  <c r="C27" i="34"/>
  <c r="D22" i="34"/>
  <c r="D23" i="34"/>
  <c r="E23" i="34" s="1"/>
  <c r="D24" i="34"/>
  <c r="E24" i="34" s="1"/>
  <c r="D25" i="34"/>
  <c r="E25" i="34" s="1"/>
  <c r="D26" i="34"/>
  <c r="E26" i="34" s="1"/>
  <c r="D44" i="34"/>
  <c r="E44" i="34" s="1"/>
  <c r="D53" i="33"/>
  <c r="E53" i="33" s="1"/>
  <c r="D41" i="33"/>
  <c r="E41" i="33" s="1"/>
  <c r="D45" i="33"/>
  <c r="E45" i="33" s="1"/>
  <c r="D54" i="33"/>
  <c r="E54" i="33" s="1"/>
  <c r="D42" i="33"/>
  <c r="E42" i="33" s="1"/>
  <c r="D51" i="33"/>
  <c r="E51" i="33" s="1"/>
  <c r="D55" i="33"/>
  <c r="E55" i="33" s="1"/>
  <c r="D43" i="33"/>
  <c r="E43" i="33" s="1"/>
  <c r="D52" i="33"/>
  <c r="E52" i="33" s="1"/>
  <c r="C27" i="33"/>
  <c r="D22" i="33"/>
  <c r="H22" i="33" s="1"/>
  <c r="D23" i="33"/>
  <c r="E23" i="33" s="1"/>
  <c r="D24" i="33"/>
  <c r="E24" i="33" s="1"/>
  <c r="D25" i="33"/>
  <c r="E25" i="33" s="1"/>
  <c r="D26" i="33"/>
  <c r="E26" i="33" s="1"/>
  <c r="D44" i="33"/>
  <c r="E44" i="33" s="1"/>
  <c r="C28" i="32"/>
  <c r="D42" i="32"/>
  <c r="E42" i="32" s="1"/>
  <c r="D51" i="32"/>
  <c r="E51" i="32" s="1"/>
  <c r="D55" i="32"/>
  <c r="E55" i="32" s="1"/>
  <c r="D43" i="32"/>
  <c r="E43" i="32" s="1"/>
  <c r="D52" i="32"/>
  <c r="E52" i="32" s="1"/>
  <c r="C27" i="32"/>
  <c r="D22" i="32"/>
  <c r="F22" i="32" s="1"/>
  <c r="D23" i="32"/>
  <c r="E23" i="32" s="1"/>
  <c r="D24" i="32"/>
  <c r="E24" i="32" s="1"/>
  <c r="D25" i="32"/>
  <c r="E25" i="32" s="1"/>
  <c r="D26" i="32"/>
  <c r="E26" i="32" s="1"/>
  <c r="D44" i="32"/>
  <c r="E44" i="32" s="1"/>
  <c r="D42" i="31"/>
  <c r="E42" i="31" s="1"/>
  <c r="D51" i="31"/>
  <c r="E51" i="31" s="1"/>
  <c r="D55" i="31"/>
  <c r="E55" i="31" s="1"/>
  <c r="D43" i="31"/>
  <c r="E43" i="31" s="1"/>
  <c r="D52" i="31"/>
  <c r="E52" i="31" s="1"/>
  <c r="C27" i="31"/>
  <c r="D22" i="31"/>
  <c r="H22" i="31" s="1"/>
  <c r="D23" i="31"/>
  <c r="E23" i="31" s="1"/>
  <c r="D24" i="31"/>
  <c r="E24" i="31" s="1"/>
  <c r="D25" i="31"/>
  <c r="E25" i="31" s="1"/>
  <c r="D26" i="31"/>
  <c r="E26" i="31" s="1"/>
  <c r="D44" i="31"/>
  <c r="E44" i="31" s="1"/>
  <c r="C28" i="30"/>
  <c r="D41" i="30"/>
  <c r="E41" i="30" s="1"/>
  <c r="D45" i="30"/>
  <c r="E45" i="30" s="1"/>
  <c r="D54" i="30"/>
  <c r="E54" i="30" s="1"/>
  <c r="D43" i="30"/>
  <c r="E43" i="30" s="1"/>
  <c r="D52" i="30"/>
  <c r="E52" i="30" s="1"/>
  <c r="C27" i="30"/>
  <c r="D22" i="30"/>
  <c r="D23" i="30"/>
  <c r="E23" i="30" s="1"/>
  <c r="D24" i="30"/>
  <c r="E24" i="30" s="1"/>
  <c r="D25" i="30"/>
  <c r="E25" i="30" s="1"/>
  <c r="D26" i="30"/>
  <c r="E26" i="30" s="1"/>
  <c r="D44" i="30"/>
  <c r="E44" i="30" s="1"/>
  <c r="F18" i="12"/>
  <c r="C28" i="21"/>
  <c r="D42" i="21"/>
  <c r="E42" i="21" s="1"/>
  <c r="D51" i="21"/>
  <c r="E51" i="21" s="1"/>
  <c r="D55" i="21"/>
  <c r="E55" i="21" s="1"/>
  <c r="D43" i="21"/>
  <c r="E43" i="21" s="1"/>
  <c r="D52" i="21"/>
  <c r="E52" i="21" s="1"/>
  <c r="C27" i="21"/>
  <c r="D22" i="21"/>
  <c r="G22" i="21" s="1"/>
  <c r="D23" i="21"/>
  <c r="E23" i="21" s="1"/>
  <c r="D24" i="21"/>
  <c r="H24" i="21" s="1"/>
  <c r="D25" i="21"/>
  <c r="E25" i="21" s="1"/>
  <c r="D26" i="21"/>
  <c r="E26" i="21" s="1"/>
  <c r="D44" i="21"/>
  <c r="E44" i="21" s="1"/>
  <c r="C28" i="20"/>
  <c r="D41" i="20"/>
  <c r="E41" i="20" s="1"/>
  <c r="D45" i="20"/>
  <c r="E45" i="20" s="1"/>
  <c r="D54" i="20"/>
  <c r="E54" i="20" s="1"/>
  <c r="D51" i="20"/>
  <c r="E51" i="20" s="1"/>
  <c r="D55" i="20"/>
  <c r="E55" i="20" s="1"/>
  <c r="D43" i="20"/>
  <c r="E43" i="20" s="1"/>
  <c r="D52" i="20"/>
  <c r="E52" i="20" s="1"/>
  <c r="C27" i="20"/>
  <c r="D22" i="20"/>
  <c r="F22" i="20" s="1"/>
  <c r="D23" i="20"/>
  <c r="E23" i="20" s="1"/>
  <c r="D24" i="20"/>
  <c r="E24" i="20" s="1"/>
  <c r="D25" i="20"/>
  <c r="E25" i="20" s="1"/>
  <c r="D26" i="20"/>
  <c r="E26" i="20" s="1"/>
  <c r="D44" i="20"/>
  <c r="E44" i="20" s="1"/>
  <c r="G24" i="19"/>
  <c r="H23" i="19"/>
  <c r="D42" i="19"/>
  <c r="E42" i="19" s="1"/>
  <c r="D51" i="19"/>
  <c r="E51" i="19" s="1"/>
  <c r="D55" i="19"/>
  <c r="E55" i="19" s="1"/>
  <c r="D43" i="19"/>
  <c r="E43" i="19" s="1"/>
  <c r="D52" i="19"/>
  <c r="E52" i="19" s="1"/>
  <c r="C27" i="19"/>
  <c r="D22" i="19"/>
  <c r="G22" i="19" s="1"/>
  <c r="D23" i="19"/>
  <c r="E23" i="19" s="1"/>
  <c r="D24" i="19"/>
  <c r="E24" i="19" s="1"/>
  <c r="D25" i="19"/>
  <c r="E25" i="19" s="1"/>
  <c r="D26" i="19"/>
  <c r="E26" i="19" s="1"/>
  <c r="D44" i="19"/>
  <c r="E44" i="19" s="1"/>
  <c r="F25" i="17"/>
  <c r="B35" i="17" s="1"/>
  <c r="C28" i="17"/>
  <c r="D42" i="17"/>
  <c r="E42" i="17" s="1"/>
  <c r="D51" i="17"/>
  <c r="E51" i="17" s="1"/>
  <c r="D55" i="17"/>
  <c r="E55" i="17" s="1"/>
  <c r="D43" i="17"/>
  <c r="E43" i="17" s="1"/>
  <c r="D52" i="17"/>
  <c r="E52" i="17" s="1"/>
  <c r="D22" i="17"/>
  <c r="D23" i="17"/>
  <c r="E23" i="17" s="1"/>
  <c r="D24" i="17"/>
  <c r="E24" i="17" s="1"/>
  <c r="D25" i="17"/>
  <c r="E25" i="17" s="1"/>
  <c r="D26" i="17"/>
  <c r="E26" i="17" s="1"/>
  <c r="D44" i="17"/>
  <c r="E44" i="17" s="1"/>
  <c r="D41" i="16"/>
  <c r="E41" i="16" s="1"/>
  <c r="D45" i="16"/>
  <c r="E45" i="16" s="1"/>
  <c r="D54" i="16"/>
  <c r="E54" i="16" s="1"/>
  <c r="H23" i="16"/>
  <c r="D42" i="16"/>
  <c r="E42" i="16" s="1"/>
  <c r="D51" i="16"/>
  <c r="E51" i="16" s="1"/>
  <c r="D55" i="16"/>
  <c r="E55" i="16" s="1"/>
  <c r="D43" i="16"/>
  <c r="E43" i="16" s="1"/>
  <c r="D52" i="16"/>
  <c r="E52" i="16" s="1"/>
  <c r="C27" i="16"/>
  <c r="D22" i="16"/>
  <c r="F22" i="16" s="1"/>
  <c r="D23" i="16"/>
  <c r="E23" i="16" s="1"/>
  <c r="D24" i="16"/>
  <c r="E24" i="16" s="1"/>
  <c r="D25" i="16"/>
  <c r="E25" i="16" s="1"/>
  <c r="D26" i="16"/>
  <c r="E26" i="16" s="1"/>
  <c r="D44" i="16"/>
  <c r="E44" i="16" s="1"/>
  <c r="D42" i="14"/>
  <c r="E42" i="14" s="1"/>
  <c r="D51" i="14"/>
  <c r="E51" i="14" s="1"/>
  <c r="D55" i="14"/>
  <c r="E55" i="14" s="1"/>
  <c r="D43" i="14"/>
  <c r="E43" i="14" s="1"/>
  <c r="D52" i="14"/>
  <c r="E52" i="14" s="1"/>
  <c r="C27" i="14"/>
  <c r="D22" i="14"/>
  <c r="D23" i="14"/>
  <c r="E23" i="14" s="1"/>
  <c r="D24" i="14"/>
  <c r="E24" i="14" s="1"/>
  <c r="D25" i="14"/>
  <c r="E25" i="14" s="1"/>
  <c r="D26" i="14"/>
  <c r="E26" i="14" s="1"/>
  <c r="D44" i="14"/>
  <c r="E44" i="14" s="1"/>
  <c r="F26" i="12"/>
  <c r="B36" i="12" s="1"/>
  <c r="D41" i="12"/>
  <c r="E41" i="12" s="1"/>
  <c r="D45" i="12"/>
  <c r="E45" i="12" s="1"/>
  <c r="D54" i="12"/>
  <c r="E54" i="12" s="1"/>
  <c r="G24" i="12"/>
  <c r="H24" i="12"/>
  <c r="D42" i="12"/>
  <c r="E42" i="12" s="1"/>
  <c r="D51" i="12"/>
  <c r="E51" i="12" s="1"/>
  <c r="D55" i="12"/>
  <c r="E55" i="12" s="1"/>
  <c r="C27" i="12"/>
  <c r="D22" i="12"/>
  <c r="F22" i="12" s="1"/>
  <c r="D23" i="12"/>
  <c r="E23" i="12" s="1"/>
  <c r="D24" i="12"/>
  <c r="E24" i="12" s="1"/>
  <c r="D25" i="12"/>
  <c r="E25" i="12" s="1"/>
  <c r="D26" i="12"/>
  <c r="E26" i="12" s="1"/>
  <c r="D44" i="12"/>
  <c r="E44" i="12" s="1"/>
  <c r="C27" i="11"/>
  <c r="D24" i="11"/>
  <c r="E24" i="11" s="1"/>
  <c r="D25" i="11"/>
  <c r="E25" i="11" s="1"/>
  <c r="D26" i="11"/>
  <c r="E26" i="11" s="1"/>
  <c r="D44" i="11"/>
  <c r="E44" i="11" s="1"/>
  <c r="D53" i="11"/>
  <c r="E53" i="11" s="1"/>
  <c r="D23" i="11"/>
  <c r="E23" i="11" s="1"/>
  <c r="D41" i="11"/>
  <c r="E41" i="11" s="1"/>
  <c r="G24" i="11"/>
  <c r="F26" i="11"/>
  <c r="B36" i="11" s="1"/>
  <c r="H24" i="11"/>
  <c r="D42" i="11"/>
  <c r="E42" i="11" s="1"/>
  <c r="D51" i="11"/>
  <c r="E51" i="11" s="1"/>
  <c r="D55" i="11"/>
  <c r="E55" i="11" s="1"/>
  <c r="D22" i="11"/>
  <c r="G22" i="11" s="1"/>
  <c r="D45" i="11"/>
  <c r="E45" i="11" s="1"/>
  <c r="F24" i="11"/>
  <c r="B34" i="11" s="1"/>
  <c r="D54" i="11"/>
  <c r="E54" i="11" s="1"/>
  <c r="D43" i="11"/>
  <c r="E43" i="11" s="1"/>
  <c r="C28" i="9"/>
  <c r="D41" i="9"/>
  <c r="E41" i="9" s="1"/>
  <c r="D45" i="9"/>
  <c r="E45" i="9" s="1"/>
  <c r="D54" i="9"/>
  <c r="E54" i="9" s="1"/>
  <c r="D55" i="9"/>
  <c r="E55" i="9" s="1"/>
  <c r="D43" i="9"/>
  <c r="E43" i="9" s="1"/>
  <c r="D52" i="9"/>
  <c r="E52" i="9" s="1"/>
  <c r="C27" i="9"/>
  <c r="D22" i="9"/>
  <c r="D23" i="9"/>
  <c r="E23" i="9" s="1"/>
  <c r="D24" i="9"/>
  <c r="E24" i="9" s="1"/>
  <c r="D25" i="9"/>
  <c r="E25" i="9" s="1"/>
  <c r="D26" i="9"/>
  <c r="E26" i="9" s="1"/>
  <c r="D44" i="9"/>
  <c r="E44" i="9" s="1"/>
  <c r="F24" i="7"/>
  <c r="B34" i="7" s="1"/>
  <c r="D41" i="7"/>
  <c r="E41" i="7" s="1"/>
  <c r="D45" i="7"/>
  <c r="E45" i="7" s="1"/>
  <c r="D54" i="7"/>
  <c r="E54" i="7" s="1"/>
  <c r="D23" i="7"/>
  <c r="E23" i="7" s="1"/>
  <c r="G24" i="7"/>
  <c r="G26" i="7"/>
  <c r="D26" i="7"/>
  <c r="E26" i="7" s="1"/>
  <c r="D44" i="7"/>
  <c r="E44" i="7" s="1"/>
  <c r="D53" i="7"/>
  <c r="E53" i="7" s="1"/>
  <c r="H23" i="7"/>
  <c r="H24" i="7"/>
  <c r="H26" i="7"/>
  <c r="D42" i="7"/>
  <c r="E42" i="7" s="1"/>
  <c r="D51" i="7"/>
  <c r="E51" i="7" s="1"/>
  <c r="D55" i="7"/>
  <c r="E55" i="7" s="1"/>
  <c r="D22" i="7"/>
  <c r="D25" i="7"/>
  <c r="E25" i="7" s="1"/>
  <c r="D43" i="7"/>
  <c r="E43" i="7" s="1"/>
  <c r="D52" i="7"/>
  <c r="E52" i="7" s="1"/>
  <c r="C27" i="7"/>
  <c r="D23" i="6"/>
  <c r="E23" i="6" s="1"/>
  <c r="D25" i="6"/>
  <c r="E25" i="6" s="1"/>
  <c r="D26" i="6"/>
  <c r="E26" i="6" s="1"/>
  <c r="D44" i="6"/>
  <c r="E44" i="6" s="1"/>
  <c r="F26" i="6"/>
  <c r="B36" i="6" s="1"/>
  <c r="D41" i="6"/>
  <c r="E41" i="6" s="1"/>
  <c r="D45" i="6"/>
  <c r="E45" i="6" s="1"/>
  <c r="D54" i="6"/>
  <c r="E54" i="6" s="1"/>
  <c r="G24" i="6"/>
  <c r="G25" i="6"/>
  <c r="F25" i="6"/>
  <c r="B35" i="6" s="1"/>
  <c r="H24" i="6"/>
  <c r="C27" i="6"/>
  <c r="D22" i="6"/>
  <c r="D24" i="6"/>
  <c r="E24" i="6" s="1"/>
  <c r="H25" i="6"/>
  <c r="D42" i="6"/>
  <c r="E42" i="6" s="1"/>
  <c r="D51" i="6"/>
  <c r="E51" i="6" s="1"/>
  <c r="D55" i="6"/>
  <c r="E55" i="6" s="1"/>
  <c r="D43" i="6"/>
  <c r="E43" i="6" s="1"/>
  <c r="D52" i="6"/>
  <c r="E52" i="6" s="1"/>
  <c r="C28" i="5"/>
  <c r="D41" i="5"/>
  <c r="E41" i="5" s="1"/>
  <c r="D45" i="5"/>
  <c r="E45" i="5" s="1"/>
  <c r="D54" i="5"/>
  <c r="E54" i="5" s="1"/>
  <c r="D43" i="5"/>
  <c r="E43" i="5" s="1"/>
  <c r="D52" i="5"/>
  <c r="E52" i="5" s="1"/>
  <c r="C27" i="5"/>
  <c r="D22" i="5"/>
  <c r="G22" i="5" s="1"/>
  <c r="D23" i="5"/>
  <c r="E23" i="5" s="1"/>
  <c r="D24" i="5"/>
  <c r="E24" i="5" s="1"/>
  <c r="D25" i="5"/>
  <c r="E25" i="5" s="1"/>
  <c r="D26" i="5"/>
  <c r="E26" i="5" s="1"/>
  <c r="D44" i="5"/>
  <c r="E44" i="5" s="1"/>
  <c r="B13" i="2"/>
  <c r="C24" i="2"/>
  <c r="C25" i="2"/>
  <c r="C26" i="2"/>
  <c r="C23" i="2"/>
  <c r="C22" i="2"/>
  <c r="D26" i="2"/>
  <c r="E16" i="2"/>
  <c r="C16" i="2"/>
  <c r="F18" i="2" s="1"/>
  <c r="C12" i="2"/>
  <c r="B12" i="2"/>
  <c r="D54" i="2" s="1"/>
  <c r="E54" i="2" s="1"/>
  <c r="A12" i="2"/>
  <c r="C11" i="2"/>
  <c r="B11" i="2"/>
  <c r="A11" i="2"/>
  <c r="C10" i="2"/>
  <c r="B10" i="2"/>
  <c r="A10" i="2"/>
  <c r="C9" i="2"/>
  <c r="A9" i="2"/>
  <c r="C8" i="2"/>
  <c r="A8" i="2"/>
  <c r="C7" i="2"/>
  <c r="B7" i="2"/>
  <c r="A7" i="2"/>
  <c r="C6" i="2"/>
  <c r="B6" i="2"/>
  <c r="A6" i="2"/>
  <c r="C5" i="2"/>
  <c r="A5" i="2"/>
  <c r="A1" i="2"/>
  <c r="G16" i="1"/>
  <c r="C5" i="1" s="1"/>
  <c r="G14" i="1"/>
  <c r="G13" i="1"/>
  <c r="G12" i="1"/>
  <c r="G11" i="1"/>
  <c r="G10" i="1"/>
  <c r="G9" i="1"/>
  <c r="G8" i="1"/>
  <c r="B5" i="1" s="1"/>
  <c r="H25" i="7" l="1"/>
  <c r="G23" i="7"/>
  <c r="G24" i="9"/>
  <c r="G26" i="11"/>
  <c r="G24" i="14"/>
  <c r="F23" i="19"/>
  <c r="B33" i="19" s="1"/>
  <c r="D55" i="2"/>
  <c r="E55" i="2" s="1"/>
  <c r="F24" i="38"/>
  <c r="B34" i="38" s="1"/>
  <c r="D53" i="2"/>
  <c r="E53" i="2" s="1"/>
  <c r="D52" i="2"/>
  <c r="E52" i="2" s="1"/>
  <c r="H26" i="40"/>
  <c r="H23" i="6"/>
  <c r="F24" i="12"/>
  <c r="B34" i="12" s="1"/>
  <c r="H26" i="20"/>
  <c r="F25" i="30"/>
  <c r="B35" i="30" s="1"/>
  <c r="H25" i="40"/>
  <c r="H26" i="5"/>
  <c r="H25" i="19"/>
  <c r="G25" i="21"/>
  <c r="F25" i="40"/>
  <c r="B35" i="40" s="1"/>
  <c r="G25" i="40"/>
  <c r="D25" i="2"/>
  <c r="H25" i="2" s="1"/>
  <c r="D42" i="2"/>
  <c r="E42" i="2" s="1"/>
  <c r="D43" i="2"/>
  <c r="E43" i="2" s="1"/>
  <c r="D44" i="2"/>
  <c r="E44" i="2" s="1"/>
  <c r="D45" i="2"/>
  <c r="E45" i="2" s="1"/>
  <c r="D41" i="2"/>
  <c r="E41" i="2" s="1"/>
  <c r="H26" i="11"/>
  <c r="G26" i="12"/>
  <c r="H24" i="16"/>
  <c r="H24" i="19"/>
  <c r="H26" i="32"/>
  <c r="G24" i="38"/>
  <c r="H24" i="40"/>
  <c r="G26" i="40"/>
  <c r="G24" i="40"/>
  <c r="D28" i="40"/>
  <c r="E28" i="40" s="1"/>
  <c r="D27" i="40"/>
  <c r="F22" i="40"/>
  <c r="E22" i="40"/>
  <c r="G23" i="40"/>
  <c r="G22" i="40"/>
  <c r="H23" i="40"/>
  <c r="F23" i="40"/>
  <c r="B33" i="40" s="1"/>
  <c r="H22" i="40"/>
  <c r="F26" i="40"/>
  <c r="B36" i="40" s="1"/>
  <c r="F24" i="40"/>
  <c r="B34" i="40" s="1"/>
  <c r="G25" i="39"/>
  <c r="F25" i="39"/>
  <c r="B35" i="39" s="1"/>
  <c r="G26" i="39"/>
  <c r="F26" i="39"/>
  <c r="B36" i="39" s="1"/>
  <c r="H26" i="39"/>
  <c r="G24" i="39"/>
  <c r="F24" i="39"/>
  <c r="B34" i="39" s="1"/>
  <c r="D28" i="39"/>
  <c r="E28" i="39" s="1"/>
  <c r="D27" i="39"/>
  <c r="E22" i="39"/>
  <c r="H25" i="39"/>
  <c r="G23" i="39"/>
  <c r="F23" i="39"/>
  <c r="B33" i="39" s="1"/>
  <c r="H24" i="39"/>
  <c r="G22" i="39"/>
  <c r="F22" i="39"/>
  <c r="H23" i="39"/>
  <c r="H26" i="38"/>
  <c r="G26" i="38"/>
  <c r="F22" i="38"/>
  <c r="G25" i="38"/>
  <c r="H25" i="38"/>
  <c r="G23" i="38"/>
  <c r="H24" i="38"/>
  <c r="F23" i="38"/>
  <c r="B33" i="38" s="1"/>
  <c r="H23" i="38"/>
  <c r="F25" i="38"/>
  <c r="B35" i="38" s="1"/>
  <c r="D28" i="38"/>
  <c r="E28" i="38" s="1"/>
  <c r="D27" i="38"/>
  <c r="E22" i="38"/>
  <c r="H22" i="38"/>
  <c r="F26" i="38"/>
  <c r="B36" i="38" s="1"/>
  <c r="G22" i="36"/>
  <c r="F25" i="36"/>
  <c r="B35" i="36" s="1"/>
  <c r="H24" i="36"/>
  <c r="G24" i="36"/>
  <c r="F24" i="36"/>
  <c r="B34" i="36" s="1"/>
  <c r="H23" i="36"/>
  <c r="F23" i="36"/>
  <c r="B33" i="36" s="1"/>
  <c r="G25" i="36"/>
  <c r="G23" i="36"/>
  <c r="D28" i="36"/>
  <c r="E28" i="36" s="1"/>
  <c r="D27" i="36"/>
  <c r="E22" i="36"/>
  <c r="F22" i="36"/>
  <c r="F26" i="36"/>
  <c r="B36" i="36" s="1"/>
  <c r="E26" i="36"/>
  <c r="H25" i="36"/>
  <c r="G26" i="36"/>
  <c r="G24" i="35"/>
  <c r="F24" i="35"/>
  <c r="B34" i="35" s="1"/>
  <c r="F23" i="35"/>
  <c r="B33" i="35" s="1"/>
  <c r="H24" i="35"/>
  <c r="D28" i="35"/>
  <c r="E28" i="35" s="1"/>
  <c r="D27" i="35"/>
  <c r="E22" i="35"/>
  <c r="H25" i="35"/>
  <c r="G23" i="35"/>
  <c r="H23" i="35"/>
  <c r="G26" i="35"/>
  <c r="H22" i="35"/>
  <c r="B32" i="35"/>
  <c r="F26" i="35"/>
  <c r="B36" i="35" s="1"/>
  <c r="G25" i="35"/>
  <c r="G22" i="35"/>
  <c r="F25" i="35"/>
  <c r="B35" i="35" s="1"/>
  <c r="H26" i="35"/>
  <c r="H25" i="34"/>
  <c r="G26" i="34"/>
  <c r="F26" i="34"/>
  <c r="B36" i="34" s="1"/>
  <c r="F24" i="34"/>
  <c r="B34" i="34" s="1"/>
  <c r="D28" i="34"/>
  <c r="E28" i="34" s="1"/>
  <c r="D27" i="34"/>
  <c r="F22" i="34"/>
  <c r="E22" i="34"/>
  <c r="H26" i="34"/>
  <c r="G25" i="34"/>
  <c r="H24" i="34"/>
  <c r="G23" i="34"/>
  <c r="G24" i="34"/>
  <c r="F23" i="34"/>
  <c r="B33" i="34" s="1"/>
  <c r="H23" i="34"/>
  <c r="G22" i="34"/>
  <c r="H22" i="34"/>
  <c r="F25" i="34"/>
  <c r="B35" i="34" s="1"/>
  <c r="H23" i="33"/>
  <c r="G25" i="33"/>
  <c r="F26" i="33"/>
  <c r="B36" i="33" s="1"/>
  <c r="G26" i="33"/>
  <c r="F25" i="33"/>
  <c r="B35" i="33" s="1"/>
  <c r="F24" i="33"/>
  <c r="B34" i="33" s="1"/>
  <c r="H26" i="33"/>
  <c r="G24" i="33"/>
  <c r="F23" i="33"/>
  <c r="B33" i="33" s="1"/>
  <c r="D28" i="33"/>
  <c r="E28" i="33" s="1"/>
  <c r="D27" i="33"/>
  <c r="E22" i="33"/>
  <c r="H25" i="33"/>
  <c r="G23" i="33"/>
  <c r="F22" i="33"/>
  <c r="H24" i="33"/>
  <c r="G22" i="33"/>
  <c r="H22" i="32"/>
  <c r="G26" i="32"/>
  <c r="F25" i="32"/>
  <c r="B35" i="32" s="1"/>
  <c r="G25" i="32"/>
  <c r="F26" i="32"/>
  <c r="B36" i="32" s="1"/>
  <c r="F24" i="32"/>
  <c r="B34" i="32" s="1"/>
  <c r="B32" i="32"/>
  <c r="D28" i="32"/>
  <c r="E28" i="32" s="1"/>
  <c r="D27" i="32"/>
  <c r="E22" i="32"/>
  <c r="H25" i="32"/>
  <c r="G24" i="32"/>
  <c r="H24" i="32"/>
  <c r="G23" i="32"/>
  <c r="F23" i="32"/>
  <c r="B33" i="32" s="1"/>
  <c r="H23" i="32"/>
  <c r="G22" i="32"/>
  <c r="F22" i="31"/>
  <c r="B32" i="31" s="1"/>
  <c r="H23" i="31"/>
  <c r="G26" i="31"/>
  <c r="G25" i="31"/>
  <c r="F23" i="31"/>
  <c r="B33" i="31" s="1"/>
  <c r="F26" i="31"/>
  <c r="B36" i="31" s="1"/>
  <c r="F25" i="31"/>
  <c r="B35" i="31" s="1"/>
  <c r="D28" i="31"/>
  <c r="E28" i="31" s="1"/>
  <c r="D27" i="31"/>
  <c r="E22" i="31"/>
  <c r="H26" i="31"/>
  <c r="G24" i="31"/>
  <c r="H25" i="31"/>
  <c r="G23" i="31"/>
  <c r="F24" i="31"/>
  <c r="B34" i="31" s="1"/>
  <c r="H24" i="31"/>
  <c r="G22" i="31"/>
  <c r="G23" i="30"/>
  <c r="H23" i="30"/>
  <c r="F24" i="30"/>
  <c r="B34" i="30" s="1"/>
  <c r="G25" i="30"/>
  <c r="F23" i="30"/>
  <c r="B33" i="30" s="1"/>
  <c r="G24" i="30"/>
  <c r="D28" i="30"/>
  <c r="E28" i="30" s="1"/>
  <c r="D27" i="30"/>
  <c r="E22" i="30"/>
  <c r="G26" i="30"/>
  <c r="H26" i="30"/>
  <c r="F22" i="30"/>
  <c r="G22" i="30"/>
  <c r="H25" i="30"/>
  <c r="H24" i="30"/>
  <c r="H22" i="30"/>
  <c r="F26" i="30"/>
  <c r="B36" i="30" s="1"/>
  <c r="H25" i="21"/>
  <c r="G26" i="21"/>
  <c r="H26" i="21"/>
  <c r="G24" i="21"/>
  <c r="F22" i="21"/>
  <c r="G23" i="21"/>
  <c r="D28" i="21"/>
  <c r="E28" i="21" s="1"/>
  <c r="D27" i="21"/>
  <c r="E22" i="21"/>
  <c r="H23" i="21"/>
  <c r="F23" i="21"/>
  <c r="B33" i="21" s="1"/>
  <c r="H22" i="21"/>
  <c r="F25" i="21"/>
  <c r="B35" i="21" s="1"/>
  <c r="F24" i="21"/>
  <c r="B34" i="21" s="1"/>
  <c r="E24" i="21"/>
  <c r="F26" i="21"/>
  <c r="B36" i="21" s="1"/>
  <c r="H23" i="20"/>
  <c r="H22" i="20"/>
  <c r="G26" i="20"/>
  <c r="F25" i="20"/>
  <c r="B35" i="20" s="1"/>
  <c r="G25" i="20"/>
  <c r="F24" i="20"/>
  <c r="B34" i="20" s="1"/>
  <c r="G24" i="20"/>
  <c r="F23" i="20"/>
  <c r="B33" i="20" s="1"/>
  <c r="H25" i="20"/>
  <c r="G23" i="20"/>
  <c r="B32" i="20"/>
  <c r="D28" i="20"/>
  <c r="E28" i="20" s="1"/>
  <c r="D27" i="20"/>
  <c r="E22" i="20"/>
  <c r="H24" i="20"/>
  <c r="G22" i="20"/>
  <c r="F26" i="20"/>
  <c r="B36" i="20" s="1"/>
  <c r="F24" i="19"/>
  <c r="B34" i="19" s="1"/>
  <c r="F22" i="19"/>
  <c r="B32" i="19" s="1"/>
  <c r="G26" i="19"/>
  <c r="G25" i="19"/>
  <c r="H26" i="19"/>
  <c r="G23" i="19"/>
  <c r="H22" i="19"/>
  <c r="D28" i="19"/>
  <c r="E28" i="19" s="1"/>
  <c r="D27" i="19"/>
  <c r="E22" i="19"/>
  <c r="F26" i="19"/>
  <c r="B36" i="19" s="1"/>
  <c r="F25" i="19"/>
  <c r="B35" i="19" s="1"/>
  <c r="H25" i="17"/>
  <c r="G25" i="17"/>
  <c r="F26" i="17"/>
  <c r="B36" i="17" s="1"/>
  <c r="D28" i="17"/>
  <c r="E28" i="17" s="1"/>
  <c r="D27" i="17"/>
  <c r="E22" i="17"/>
  <c r="H26" i="17"/>
  <c r="G24" i="17"/>
  <c r="G23" i="17"/>
  <c r="H24" i="17"/>
  <c r="G22" i="17"/>
  <c r="H22" i="17"/>
  <c r="F24" i="17"/>
  <c r="B34" i="17" s="1"/>
  <c r="F23" i="17"/>
  <c r="B33" i="17" s="1"/>
  <c r="H23" i="17"/>
  <c r="F22" i="17"/>
  <c r="G26" i="17"/>
  <c r="H22" i="16"/>
  <c r="G22" i="16"/>
  <c r="G25" i="16"/>
  <c r="F25" i="16"/>
  <c r="B35" i="16" s="1"/>
  <c r="G26" i="16"/>
  <c r="H26" i="16"/>
  <c r="G24" i="16"/>
  <c r="F24" i="16"/>
  <c r="B34" i="16" s="1"/>
  <c r="F26" i="16"/>
  <c r="B36" i="16" s="1"/>
  <c r="D28" i="16"/>
  <c r="E28" i="16" s="1"/>
  <c r="D27" i="16"/>
  <c r="E22" i="16"/>
  <c r="H25" i="16"/>
  <c r="G23" i="16"/>
  <c r="F23" i="16"/>
  <c r="B33" i="16" s="1"/>
  <c r="B32" i="16"/>
  <c r="H25" i="14"/>
  <c r="H24" i="14"/>
  <c r="G25" i="14"/>
  <c r="D28" i="14"/>
  <c r="E28" i="14" s="1"/>
  <c r="D27" i="14"/>
  <c r="E22" i="14"/>
  <c r="F22" i="14"/>
  <c r="F26" i="14"/>
  <c r="B36" i="14" s="1"/>
  <c r="H26" i="14"/>
  <c r="G26" i="14"/>
  <c r="F24" i="14"/>
  <c r="B34" i="14" s="1"/>
  <c r="H23" i="14"/>
  <c r="G23" i="14"/>
  <c r="H22" i="14"/>
  <c r="G22" i="14"/>
  <c r="F25" i="14"/>
  <c r="B35" i="14" s="1"/>
  <c r="F23" i="14"/>
  <c r="B33" i="14" s="1"/>
  <c r="G25" i="12"/>
  <c r="H22" i="12"/>
  <c r="F25" i="12"/>
  <c r="B35" i="12" s="1"/>
  <c r="B32" i="12"/>
  <c r="H26" i="12"/>
  <c r="G23" i="12"/>
  <c r="F23" i="12"/>
  <c r="B33" i="12" s="1"/>
  <c r="H25" i="12"/>
  <c r="G22" i="12"/>
  <c r="D28" i="12"/>
  <c r="E28" i="12" s="1"/>
  <c r="D27" i="12"/>
  <c r="E22" i="12"/>
  <c r="H23" i="12"/>
  <c r="F22" i="11"/>
  <c r="B32" i="11" s="1"/>
  <c r="H22" i="11"/>
  <c r="F23" i="11"/>
  <c r="B33" i="11" s="1"/>
  <c r="F25" i="11"/>
  <c r="B35" i="11" s="1"/>
  <c r="H25" i="11"/>
  <c r="G25" i="11"/>
  <c r="E22" i="11"/>
  <c r="D28" i="11"/>
  <c r="E28" i="11" s="1"/>
  <c r="D27" i="11"/>
  <c r="H23" i="11"/>
  <c r="G23" i="11"/>
  <c r="F25" i="9"/>
  <c r="B35" i="9" s="1"/>
  <c r="H25" i="9"/>
  <c r="F23" i="9"/>
  <c r="B33" i="9" s="1"/>
  <c r="G26" i="9"/>
  <c r="F26" i="9"/>
  <c r="B36" i="9" s="1"/>
  <c r="G25" i="9"/>
  <c r="D28" i="9"/>
  <c r="E28" i="9" s="1"/>
  <c r="D27" i="9"/>
  <c r="E22" i="9"/>
  <c r="F24" i="9"/>
  <c r="B34" i="9" s="1"/>
  <c r="H26" i="9"/>
  <c r="G23" i="9"/>
  <c r="F22" i="9"/>
  <c r="H22" i="9"/>
  <c r="G22" i="9"/>
  <c r="H24" i="9"/>
  <c r="H23" i="9"/>
  <c r="F26" i="7"/>
  <c r="B36" i="7" s="1"/>
  <c r="F25" i="7"/>
  <c r="B35" i="7" s="1"/>
  <c r="D28" i="7"/>
  <c r="E28" i="7" s="1"/>
  <c r="E22" i="7"/>
  <c r="D27" i="7"/>
  <c r="H22" i="7"/>
  <c r="G22" i="7"/>
  <c r="F23" i="7"/>
  <c r="B33" i="7" s="1"/>
  <c r="F22" i="7"/>
  <c r="G25" i="7"/>
  <c r="G26" i="6"/>
  <c r="F23" i="6"/>
  <c r="B33" i="6" s="1"/>
  <c r="G23" i="6"/>
  <c r="D28" i="6"/>
  <c r="E28" i="6" s="1"/>
  <c r="D27" i="6"/>
  <c r="E22" i="6"/>
  <c r="F24" i="6"/>
  <c r="B34" i="6" s="1"/>
  <c r="H22" i="6"/>
  <c r="F22" i="6"/>
  <c r="G22" i="6"/>
  <c r="H26" i="6"/>
  <c r="F25" i="5"/>
  <c r="B35" i="5" s="1"/>
  <c r="F24" i="5"/>
  <c r="B34" i="5" s="1"/>
  <c r="G25" i="5"/>
  <c r="H22" i="5"/>
  <c r="F23" i="5"/>
  <c r="B33" i="5" s="1"/>
  <c r="G26" i="5"/>
  <c r="F22" i="5"/>
  <c r="G23" i="5"/>
  <c r="H23" i="5"/>
  <c r="H25" i="5"/>
  <c r="G24" i="5"/>
  <c r="D28" i="5"/>
  <c r="E28" i="5" s="1"/>
  <c r="D27" i="5"/>
  <c r="E22" i="5"/>
  <c r="H24" i="5"/>
  <c r="F26" i="5"/>
  <c r="B36" i="5" s="1"/>
  <c r="D22" i="2"/>
  <c r="E22" i="2" s="1"/>
  <c r="D24" i="2"/>
  <c r="H24" i="2" s="1"/>
  <c r="C27" i="2"/>
  <c r="C28" i="2"/>
  <c r="E26" i="2"/>
  <c r="G25" i="2"/>
  <c r="H26" i="2"/>
  <c r="H22" i="2"/>
  <c r="F25" i="2"/>
  <c r="B35" i="2" s="1"/>
  <c r="G26" i="2"/>
  <c r="E25" i="2"/>
  <c r="D23" i="2"/>
  <c r="F23" i="2" s="1"/>
  <c r="B33" i="2" s="1"/>
  <c r="F26" i="2"/>
  <c r="B36" i="2" s="1"/>
  <c r="G22" i="2" l="1"/>
  <c r="F22" i="2"/>
  <c r="F28" i="2" s="1"/>
  <c r="I26" i="2" s="1"/>
  <c r="E24" i="2"/>
  <c r="B32" i="40"/>
  <c r="F28" i="40"/>
  <c r="I22" i="40" s="1"/>
  <c r="F27" i="40"/>
  <c r="E27" i="40"/>
  <c r="G27" i="40"/>
  <c r="H27" i="40"/>
  <c r="E27" i="39"/>
  <c r="H27" i="39"/>
  <c r="G27" i="39"/>
  <c r="B32" i="39"/>
  <c r="F28" i="39"/>
  <c r="I25" i="39" s="1"/>
  <c r="F27" i="39"/>
  <c r="E27" i="38"/>
  <c r="G27" i="38"/>
  <c r="H27" i="38"/>
  <c r="B32" i="38"/>
  <c r="F28" i="38"/>
  <c r="I26" i="38" s="1"/>
  <c r="F27" i="38"/>
  <c r="B32" i="36"/>
  <c r="F28" i="36"/>
  <c r="I24" i="36" s="1"/>
  <c r="F27" i="36"/>
  <c r="E27" i="36"/>
  <c r="H27" i="36"/>
  <c r="G27" i="36"/>
  <c r="F28" i="35"/>
  <c r="I24" i="35" s="1"/>
  <c r="F27" i="35"/>
  <c r="E27" i="35"/>
  <c r="G27" i="35"/>
  <c r="H27" i="35"/>
  <c r="I26" i="34"/>
  <c r="F27" i="34"/>
  <c r="B32" i="34"/>
  <c r="F28" i="34"/>
  <c r="I25" i="34" s="1"/>
  <c r="E27" i="34"/>
  <c r="H27" i="34"/>
  <c r="G27" i="34"/>
  <c r="B32" i="33"/>
  <c r="F28" i="33"/>
  <c r="I25" i="33" s="1"/>
  <c r="F27" i="33"/>
  <c r="E27" i="33"/>
  <c r="H27" i="33"/>
  <c r="G27" i="33"/>
  <c r="E27" i="32"/>
  <c r="H27" i="32"/>
  <c r="G27" i="32"/>
  <c r="F28" i="32"/>
  <c r="I26" i="32" s="1"/>
  <c r="F27" i="32"/>
  <c r="F28" i="31"/>
  <c r="I26" i="31" s="1"/>
  <c r="E27" i="31"/>
  <c r="H27" i="31"/>
  <c r="G27" i="31"/>
  <c r="I27" i="31" s="1"/>
  <c r="J27" i="31" s="1"/>
  <c r="F27" i="31"/>
  <c r="B32" i="30"/>
  <c r="F28" i="30"/>
  <c r="I26" i="30" s="1"/>
  <c r="F27" i="30"/>
  <c r="E27" i="30"/>
  <c r="G27" i="30"/>
  <c r="H27" i="30"/>
  <c r="B32" i="21"/>
  <c r="F27" i="21"/>
  <c r="F28" i="21"/>
  <c r="I25" i="21" s="1"/>
  <c r="E27" i="21"/>
  <c r="G27" i="21"/>
  <c r="H27" i="21"/>
  <c r="E27" i="20"/>
  <c r="H27" i="20"/>
  <c r="G27" i="20"/>
  <c r="F27" i="20"/>
  <c r="F28" i="20"/>
  <c r="I23" i="20" s="1"/>
  <c r="F27" i="19"/>
  <c r="F28" i="19"/>
  <c r="E27" i="19"/>
  <c r="H27" i="19"/>
  <c r="G27" i="19"/>
  <c r="B32" i="17"/>
  <c r="F28" i="17"/>
  <c r="I25" i="17" s="1"/>
  <c r="F27" i="17"/>
  <c r="E27" i="17"/>
  <c r="G27" i="17"/>
  <c r="H27" i="17"/>
  <c r="F27" i="16"/>
  <c r="F28" i="16"/>
  <c r="I22" i="16" s="1"/>
  <c r="E27" i="16"/>
  <c r="H27" i="16"/>
  <c r="G27" i="16"/>
  <c r="B32" i="14"/>
  <c r="F27" i="14"/>
  <c r="F28" i="14"/>
  <c r="I23" i="14" s="1"/>
  <c r="E27" i="14"/>
  <c r="G27" i="14"/>
  <c r="H27" i="14"/>
  <c r="E27" i="12"/>
  <c r="G27" i="12"/>
  <c r="H27" i="12"/>
  <c r="F27" i="12"/>
  <c r="F28" i="12"/>
  <c r="I24" i="12" s="1"/>
  <c r="F28" i="11"/>
  <c r="I22" i="11" s="1"/>
  <c r="F27" i="11"/>
  <c r="J53" i="11" s="1"/>
  <c r="E27" i="11"/>
  <c r="G27" i="11"/>
  <c r="H27" i="11"/>
  <c r="E27" i="9"/>
  <c r="H27" i="9"/>
  <c r="G27" i="9"/>
  <c r="B32" i="9"/>
  <c r="F28" i="9"/>
  <c r="I26" i="9" s="1"/>
  <c r="F27" i="9"/>
  <c r="E27" i="7"/>
  <c r="H27" i="7"/>
  <c r="G27" i="7"/>
  <c r="B32" i="7"/>
  <c r="F28" i="7"/>
  <c r="I22" i="7" s="1"/>
  <c r="F27" i="7"/>
  <c r="E27" i="6"/>
  <c r="G27" i="6"/>
  <c r="H27" i="6"/>
  <c r="B32" i="6"/>
  <c r="F27" i="6"/>
  <c r="F28" i="6"/>
  <c r="I22" i="6" s="1"/>
  <c r="B32" i="5"/>
  <c r="F28" i="5"/>
  <c r="I22" i="5" s="1"/>
  <c r="F27" i="5"/>
  <c r="E27" i="5"/>
  <c r="H27" i="5"/>
  <c r="G27" i="5"/>
  <c r="F24" i="2"/>
  <c r="B34" i="2" s="1"/>
  <c r="E23" i="2"/>
  <c r="G24" i="2"/>
  <c r="F27" i="2"/>
  <c r="D28" i="2"/>
  <c r="E28" i="2" s="1"/>
  <c r="D27" i="2"/>
  <c r="G23" i="2"/>
  <c r="H23" i="2"/>
  <c r="F41" i="2" l="1"/>
  <c r="F42" i="2"/>
  <c r="I41" i="2"/>
  <c r="I55" i="2"/>
  <c r="F54" i="2"/>
  <c r="J54" i="2"/>
  <c r="I53" i="2"/>
  <c r="I43" i="2"/>
  <c r="J42" i="2"/>
  <c r="I52" i="2"/>
  <c r="F45" i="2"/>
  <c r="F51" i="2"/>
  <c r="J52" i="2"/>
  <c r="J45" i="2"/>
  <c r="J43" i="2"/>
  <c r="F53" i="2"/>
  <c r="I45" i="2"/>
  <c r="J44" i="2"/>
  <c r="J53" i="2"/>
  <c r="F55" i="2"/>
  <c r="F52" i="2"/>
  <c r="I51" i="2"/>
  <c r="I54" i="2"/>
  <c r="I44" i="2"/>
  <c r="F44" i="2"/>
  <c r="I42" i="2"/>
  <c r="J55" i="2"/>
  <c r="J41" i="2"/>
  <c r="F43" i="2"/>
  <c r="J51" i="2"/>
  <c r="B32" i="2"/>
  <c r="I25" i="31"/>
  <c r="A35" i="31" s="1"/>
  <c r="I27" i="36"/>
  <c r="J27" i="36" s="1"/>
  <c r="I23" i="40"/>
  <c r="A33" i="40" s="1"/>
  <c r="A32" i="40"/>
  <c r="J22" i="40"/>
  <c r="I27" i="40"/>
  <c r="J27" i="40" s="1"/>
  <c r="J54" i="40"/>
  <c r="F52" i="40"/>
  <c r="J45" i="40"/>
  <c r="F43" i="40"/>
  <c r="J41" i="40"/>
  <c r="I54" i="40"/>
  <c r="I45" i="40"/>
  <c r="I41" i="40"/>
  <c r="F53" i="40"/>
  <c r="F55" i="40"/>
  <c r="J53" i="40"/>
  <c r="F51" i="40"/>
  <c r="J44" i="40"/>
  <c r="F42" i="40"/>
  <c r="J51" i="40"/>
  <c r="I53" i="40"/>
  <c r="I44" i="40"/>
  <c r="J55" i="40"/>
  <c r="F54" i="40"/>
  <c r="J52" i="40"/>
  <c r="F45" i="40"/>
  <c r="J43" i="40"/>
  <c r="F41" i="40"/>
  <c r="F44" i="40"/>
  <c r="I52" i="40"/>
  <c r="I43" i="40"/>
  <c r="I55" i="40"/>
  <c r="I51" i="40"/>
  <c r="I42" i="40"/>
  <c r="J42" i="40"/>
  <c r="I25" i="40"/>
  <c r="I24" i="40"/>
  <c r="I26" i="40"/>
  <c r="I24" i="39"/>
  <c r="I22" i="39"/>
  <c r="J54" i="39"/>
  <c r="F52" i="39"/>
  <c r="J45" i="39"/>
  <c r="F43" i="39"/>
  <c r="J41" i="39"/>
  <c r="I54" i="39"/>
  <c r="I45" i="39"/>
  <c r="I41" i="39"/>
  <c r="F55" i="39"/>
  <c r="J53" i="39"/>
  <c r="F51" i="39"/>
  <c r="J44" i="39"/>
  <c r="F42" i="39"/>
  <c r="I53" i="39"/>
  <c r="I44" i="39"/>
  <c r="I42" i="39"/>
  <c r="F54" i="39"/>
  <c r="J52" i="39"/>
  <c r="F45" i="39"/>
  <c r="J43" i="39"/>
  <c r="F41" i="39"/>
  <c r="I51" i="39"/>
  <c r="I52" i="39"/>
  <c r="I43" i="39"/>
  <c r="J55" i="39"/>
  <c r="F53" i="39"/>
  <c r="J51" i="39"/>
  <c r="F44" i="39"/>
  <c r="J42" i="39"/>
  <c r="I55" i="39"/>
  <c r="J25" i="39"/>
  <c r="A35" i="39"/>
  <c r="I27" i="39"/>
  <c r="J27" i="39" s="1"/>
  <c r="I26" i="39"/>
  <c r="I23" i="39"/>
  <c r="A36" i="38"/>
  <c r="J26" i="38"/>
  <c r="I25" i="38"/>
  <c r="I27" i="38"/>
  <c r="J27" i="38" s="1"/>
  <c r="I23" i="38"/>
  <c r="I22" i="38"/>
  <c r="J54" i="38"/>
  <c r="F52" i="38"/>
  <c r="J45" i="38"/>
  <c r="F43" i="38"/>
  <c r="J41" i="38"/>
  <c r="I54" i="38"/>
  <c r="I45" i="38"/>
  <c r="I41" i="38"/>
  <c r="F53" i="38"/>
  <c r="F55" i="38"/>
  <c r="J53" i="38"/>
  <c r="F51" i="38"/>
  <c r="J44" i="38"/>
  <c r="F42" i="38"/>
  <c r="I53" i="38"/>
  <c r="I44" i="38"/>
  <c r="I42" i="38"/>
  <c r="F54" i="38"/>
  <c r="J52" i="38"/>
  <c r="F45" i="38"/>
  <c r="J43" i="38"/>
  <c r="F41" i="38"/>
  <c r="J55" i="38"/>
  <c r="F44" i="38"/>
  <c r="I55" i="38"/>
  <c r="I52" i="38"/>
  <c r="I43" i="38"/>
  <c r="J51" i="38"/>
  <c r="J42" i="38"/>
  <c r="I51" i="38"/>
  <c r="I24" i="38"/>
  <c r="I23" i="36"/>
  <c r="J23" i="36" s="1"/>
  <c r="J24" i="36"/>
  <c r="A34" i="36"/>
  <c r="I26" i="36"/>
  <c r="A33" i="36"/>
  <c r="J54" i="36"/>
  <c r="F52" i="36"/>
  <c r="J45" i="36"/>
  <c r="F43" i="36"/>
  <c r="J41" i="36"/>
  <c r="F51" i="36"/>
  <c r="F42" i="36"/>
  <c r="I51" i="36"/>
  <c r="I54" i="36"/>
  <c r="I45" i="36"/>
  <c r="I41" i="36"/>
  <c r="F55" i="36"/>
  <c r="J53" i="36"/>
  <c r="J44" i="36"/>
  <c r="J55" i="36"/>
  <c r="I55" i="36"/>
  <c r="I53" i="36"/>
  <c r="I44" i="36"/>
  <c r="F54" i="36"/>
  <c r="J52" i="36"/>
  <c r="F45" i="36"/>
  <c r="J43" i="36"/>
  <c r="F41" i="36"/>
  <c r="I52" i="36"/>
  <c r="I43" i="36"/>
  <c r="F53" i="36"/>
  <c r="J51" i="36"/>
  <c r="F44" i="36"/>
  <c r="J42" i="36"/>
  <c r="I42" i="36"/>
  <c r="I25" i="36"/>
  <c r="I22" i="36"/>
  <c r="I27" i="35"/>
  <c r="J27" i="35" s="1"/>
  <c r="J54" i="35"/>
  <c r="F52" i="35"/>
  <c r="J45" i="35"/>
  <c r="F43" i="35"/>
  <c r="J41" i="35"/>
  <c r="I54" i="35"/>
  <c r="I45" i="35"/>
  <c r="I41" i="35"/>
  <c r="J51" i="35"/>
  <c r="F44" i="35"/>
  <c r="J42" i="35"/>
  <c r="F55" i="35"/>
  <c r="J53" i="35"/>
  <c r="F51" i="35"/>
  <c r="J44" i="35"/>
  <c r="F42" i="35"/>
  <c r="J55" i="35"/>
  <c r="I53" i="35"/>
  <c r="I44" i="35"/>
  <c r="F54" i="35"/>
  <c r="J52" i="35"/>
  <c r="F45" i="35"/>
  <c r="J43" i="35"/>
  <c r="F41" i="35"/>
  <c r="I52" i="35"/>
  <c r="I43" i="35"/>
  <c r="I55" i="35"/>
  <c r="I51" i="35"/>
  <c r="I42" i="35"/>
  <c r="F53" i="35"/>
  <c r="J24" i="35"/>
  <c r="A34" i="35"/>
  <c r="I22" i="35"/>
  <c r="I23" i="35"/>
  <c r="I25" i="35"/>
  <c r="I26" i="35"/>
  <c r="J25" i="34"/>
  <c r="A35" i="34"/>
  <c r="I24" i="34"/>
  <c r="J54" i="34"/>
  <c r="F52" i="34"/>
  <c r="J45" i="34"/>
  <c r="F43" i="34"/>
  <c r="J41" i="34"/>
  <c r="I54" i="34"/>
  <c r="I45" i="34"/>
  <c r="I41" i="34"/>
  <c r="F53" i="34"/>
  <c r="F55" i="34"/>
  <c r="J53" i="34"/>
  <c r="F51" i="34"/>
  <c r="J44" i="34"/>
  <c r="F42" i="34"/>
  <c r="J55" i="34"/>
  <c r="I53" i="34"/>
  <c r="I44" i="34"/>
  <c r="F54" i="34"/>
  <c r="J52" i="34"/>
  <c r="F45" i="34"/>
  <c r="J43" i="34"/>
  <c r="F41" i="34"/>
  <c r="F44" i="34"/>
  <c r="I52" i="34"/>
  <c r="I43" i="34"/>
  <c r="I55" i="34"/>
  <c r="I51" i="34"/>
  <c r="I42" i="34"/>
  <c r="J51" i="34"/>
  <c r="J42" i="34"/>
  <c r="I23" i="34"/>
  <c r="I22" i="34"/>
  <c r="A36" i="34"/>
  <c r="J26" i="34"/>
  <c r="I27" i="34"/>
  <c r="J27" i="34" s="1"/>
  <c r="J25" i="33"/>
  <c r="A35" i="33"/>
  <c r="I23" i="33"/>
  <c r="J54" i="33"/>
  <c r="F52" i="33"/>
  <c r="J45" i="33"/>
  <c r="F43" i="33"/>
  <c r="J41" i="33"/>
  <c r="I54" i="33"/>
  <c r="I45" i="33"/>
  <c r="I41" i="33"/>
  <c r="I51" i="33"/>
  <c r="I42" i="33"/>
  <c r="F55" i="33"/>
  <c r="J53" i="33"/>
  <c r="F51" i="33"/>
  <c r="J44" i="33"/>
  <c r="F42" i="33"/>
  <c r="I53" i="33"/>
  <c r="I44" i="33"/>
  <c r="I55" i="33"/>
  <c r="F54" i="33"/>
  <c r="J52" i="33"/>
  <c r="F45" i="33"/>
  <c r="J43" i="33"/>
  <c r="F41" i="33"/>
  <c r="I52" i="33"/>
  <c r="I43" i="33"/>
  <c r="J55" i="33"/>
  <c r="F53" i="33"/>
  <c r="J51" i="33"/>
  <c r="F44" i="33"/>
  <c r="J42" i="33"/>
  <c r="I26" i="33"/>
  <c r="I22" i="33"/>
  <c r="I27" i="33"/>
  <c r="J27" i="33" s="1"/>
  <c r="I24" i="33"/>
  <c r="I23" i="32"/>
  <c r="I27" i="32"/>
  <c r="J27" i="32" s="1"/>
  <c r="I25" i="32"/>
  <c r="J54" i="32"/>
  <c r="F52" i="32"/>
  <c r="J45" i="32"/>
  <c r="F43" i="32"/>
  <c r="J41" i="32"/>
  <c r="F53" i="32"/>
  <c r="J42" i="32"/>
  <c r="I54" i="32"/>
  <c r="I45" i="32"/>
  <c r="I41" i="32"/>
  <c r="F55" i="32"/>
  <c r="J53" i="32"/>
  <c r="F51" i="32"/>
  <c r="J44" i="32"/>
  <c r="F42" i="32"/>
  <c r="I53" i="32"/>
  <c r="I44" i="32"/>
  <c r="J51" i="32"/>
  <c r="F54" i="32"/>
  <c r="J52" i="32"/>
  <c r="F45" i="32"/>
  <c r="J43" i="32"/>
  <c r="F41" i="32"/>
  <c r="J55" i="32"/>
  <c r="I52" i="32"/>
  <c r="I43" i="32"/>
  <c r="I55" i="32"/>
  <c r="I51" i="32"/>
  <c r="I42" i="32"/>
  <c r="F44" i="32"/>
  <c r="J26" i="32"/>
  <c r="A36" i="32"/>
  <c r="J23" i="32"/>
  <c r="A33" i="32"/>
  <c r="J25" i="32"/>
  <c r="A35" i="32"/>
  <c r="I22" i="32"/>
  <c r="I24" i="32"/>
  <c r="J26" i="31"/>
  <c r="A36" i="31"/>
  <c r="I23" i="31"/>
  <c r="J25" i="31"/>
  <c r="I22" i="31"/>
  <c r="A32" i="31" s="1"/>
  <c r="C30" i="31" s="1" a="1"/>
  <c r="I24" i="31"/>
  <c r="J54" i="31"/>
  <c r="F52" i="31"/>
  <c r="J45" i="31"/>
  <c r="F43" i="31"/>
  <c r="J41" i="31"/>
  <c r="F53" i="31"/>
  <c r="J42" i="31"/>
  <c r="I54" i="31"/>
  <c r="I45" i="31"/>
  <c r="I41" i="31"/>
  <c r="F55" i="31"/>
  <c r="J53" i="31"/>
  <c r="F51" i="31"/>
  <c r="J44" i="31"/>
  <c r="F42" i="31"/>
  <c r="I53" i="31"/>
  <c r="I44" i="31"/>
  <c r="J55" i="31"/>
  <c r="F44" i="31"/>
  <c r="I51" i="31"/>
  <c r="F54" i="31"/>
  <c r="J52" i="31"/>
  <c r="F45" i="31"/>
  <c r="J43" i="31"/>
  <c r="F41" i="31"/>
  <c r="I55" i="31"/>
  <c r="I52" i="31"/>
  <c r="I43" i="31"/>
  <c r="J51" i="31"/>
  <c r="I42" i="31"/>
  <c r="J24" i="31"/>
  <c r="A34" i="31"/>
  <c r="J23" i="31"/>
  <c r="A33" i="31"/>
  <c r="I22" i="30"/>
  <c r="I27" i="30"/>
  <c r="J27" i="30" s="1"/>
  <c r="J26" i="30"/>
  <c r="A36" i="30"/>
  <c r="J54" i="30"/>
  <c r="F52" i="30"/>
  <c r="J45" i="30"/>
  <c r="F43" i="30"/>
  <c r="J41" i="30"/>
  <c r="F54" i="30"/>
  <c r="J52" i="30"/>
  <c r="F45" i="30"/>
  <c r="I54" i="30"/>
  <c r="I45" i="30"/>
  <c r="I41" i="30"/>
  <c r="F41" i="30"/>
  <c r="F55" i="30"/>
  <c r="J53" i="30"/>
  <c r="F51" i="30"/>
  <c r="J44" i="30"/>
  <c r="F42" i="30"/>
  <c r="I53" i="30"/>
  <c r="I44" i="30"/>
  <c r="J43" i="30"/>
  <c r="I52" i="30"/>
  <c r="I43" i="30"/>
  <c r="I51" i="30"/>
  <c r="J55" i="30"/>
  <c r="F53" i="30"/>
  <c r="J51" i="30"/>
  <c r="F44" i="30"/>
  <c r="J42" i="30"/>
  <c r="I55" i="30"/>
  <c r="I42" i="30"/>
  <c r="I24" i="30"/>
  <c r="I25" i="30"/>
  <c r="I23" i="30"/>
  <c r="A32" i="30"/>
  <c r="J22" i="30"/>
  <c r="I51" i="11"/>
  <c r="J43" i="11"/>
  <c r="J44" i="11"/>
  <c r="I55" i="11"/>
  <c r="F45" i="11"/>
  <c r="B65" i="11" s="1"/>
  <c r="F55" i="11"/>
  <c r="J41" i="11"/>
  <c r="F54" i="11"/>
  <c r="B69" i="11" s="1"/>
  <c r="F43" i="11"/>
  <c r="H43" i="11" s="1"/>
  <c r="I43" i="11"/>
  <c r="I53" i="11"/>
  <c r="I54" i="11"/>
  <c r="J52" i="11"/>
  <c r="F53" i="11"/>
  <c r="J45" i="11"/>
  <c r="I52" i="11"/>
  <c r="J42" i="11"/>
  <c r="F52" i="11"/>
  <c r="F44" i="11"/>
  <c r="H44" i="11" s="1"/>
  <c r="J55" i="11"/>
  <c r="I42" i="11"/>
  <c r="F41" i="11"/>
  <c r="F42" i="11"/>
  <c r="G42" i="11" s="1"/>
  <c r="I26" i="16"/>
  <c r="A36" i="16" s="1"/>
  <c r="I22" i="17"/>
  <c r="A32" i="17" s="1"/>
  <c r="I23" i="17"/>
  <c r="I26" i="17"/>
  <c r="A36" i="17" s="1"/>
  <c r="I23" i="21"/>
  <c r="J23" i="21" s="1"/>
  <c r="I26" i="21"/>
  <c r="I24" i="21"/>
  <c r="J25" i="21"/>
  <c r="A35" i="21"/>
  <c r="J54" i="21"/>
  <c r="F52" i="21"/>
  <c r="J45" i="21"/>
  <c r="F43" i="21"/>
  <c r="J41" i="21"/>
  <c r="F53" i="21"/>
  <c r="I54" i="21"/>
  <c r="I45" i="21"/>
  <c r="I41" i="21"/>
  <c r="F55" i="21"/>
  <c r="J53" i="21"/>
  <c r="F51" i="21"/>
  <c r="J44" i="21"/>
  <c r="F42" i="21"/>
  <c r="J51" i="21"/>
  <c r="I53" i="21"/>
  <c r="I44" i="21"/>
  <c r="F54" i="21"/>
  <c r="J52" i="21"/>
  <c r="F45" i="21"/>
  <c r="J43" i="21"/>
  <c r="F41" i="21"/>
  <c r="J55" i="21"/>
  <c r="I52" i="21"/>
  <c r="I43" i="21"/>
  <c r="J42" i="21"/>
  <c r="I55" i="21"/>
  <c r="I51" i="21"/>
  <c r="I42" i="21"/>
  <c r="F44" i="21"/>
  <c r="I27" i="21"/>
  <c r="J27" i="21" s="1"/>
  <c r="I22" i="21"/>
  <c r="I25" i="20"/>
  <c r="J25" i="20" s="1"/>
  <c r="I24" i="20"/>
  <c r="J24" i="20" s="1"/>
  <c r="I26" i="20"/>
  <c r="I22" i="20"/>
  <c r="A32" i="20" s="1"/>
  <c r="J23" i="20"/>
  <c r="A33" i="20"/>
  <c r="J54" i="20"/>
  <c r="F52" i="20"/>
  <c r="J45" i="20"/>
  <c r="F43" i="20"/>
  <c r="J41" i="20"/>
  <c r="I54" i="20"/>
  <c r="I45" i="20"/>
  <c r="I41" i="20"/>
  <c r="I51" i="20"/>
  <c r="F55" i="20"/>
  <c r="J53" i="20"/>
  <c r="F51" i="20"/>
  <c r="J44" i="20"/>
  <c r="F42" i="20"/>
  <c r="I42" i="20"/>
  <c r="I53" i="20"/>
  <c r="I44" i="20"/>
  <c r="I55" i="20"/>
  <c r="F54" i="20"/>
  <c r="J52" i="20"/>
  <c r="F45" i="20"/>
  <c r="J43" i="20"/>
  <c r="F41" i="20"/>
  <c r="I52" i="20"/>
  <c r="I43" i="20"/>
  <c r="J55" i="20"/>
  <c r="F53" i="20"/>
  <c r="J51" i="20"/>
  <c r="F44" i="20"/>
  <c r="J42" i="20"/>
  <c r="I27" i="20"/>
  <c r="J27" i="20" s="1"/>
  <c r="A35" i="20"/>
  <c r="J26" i="20"/>
  <c r="A36" i="20"/>
  <c r="J22" i="20"/>
  <c r="I27" i="19"/>
  <c r="J27" i="19" s="1"/>
  <c r="I26" i="19"/>
  <c r="I23" i="19"/>
  <c r="I25" i="19"/>
  <c r="I24" i="19"/>
  <c r="J54" i="19"/>
  <c r="F52" i="19"/>
  <c r="J45" i="19"/>
  <c r="F43" i="19"/>
  <c r="J41" i="19"/>
  <c r="J42" i="19"/>
  <c r="I54" i="19"/>
  <c r="I45" i="19"/>
  <c r="I41" i="19"/>
  <c r="F53" i="19"/>
  <c r="J51" i="19"/>
  <c r="F55" i="19"/>
  <c r="J53" i="19"/>
  <c r="F51" i="19"/>
  <c r="J44" i="19"/>
  <c r="F42" i="19"/>
  <c r="I55" i="19"/>
  <c r="I42" i="19"/>
  <c r="I53" i="19"/>
  <c r="I44" i="19"/>
  <c r="J55" i="19"/>
  <c r="F54" i="19"/>
  <c r="J52" i="19"/>
  <c r="F45" i="19"/>
  <c r="J43" i="19"/>
  <c r="F41" i="19"/>
  <c r="I51" i="19"/>
  <c r="I52" i="19"/>
  <c r="I43" i="19"/>
  <c r="F44" i="19"/>
  <c r="I22" i="19"/>
  <c r="I24" i="17"/>
  <c r="A34" i="17" s="1"/>
  <c r="I27" i="17"/>
  <c r="J27" i="17" s="1"/>
  <c r="J23" i="17"/>
  <c r="A33" i="17"/>
  <c r="J26" i="17"/>
  <c r="J54" i="17"/>
  <c r="F52" i="17"/>
  <c r="J45" i="17"/>
  <c r="F43" i="17"/>
  <c r="J41" i="17"/>
  <c r="I54" i="17"/>
  <c r="I45" i="17"/>
  <c r="F55" i="17"/>
  <c r="J53" i="17"/>
  <c r="F51" i="17"/>
  <c r="J44" i="17"/>
  <c r="F42" i="17"/>
  <c r="J55" i="17"/>
  <c r="F53" i="17"/>
  <c r="I53" i="17"/>
  <c r="I44" i="17"/>
  <c r="F44" i="17"/>
  <c r="F54" i="17"/>
  <c r="J52" i="17"/>
  <c r="F45" i="17"/>
  <c r="J43" i="17"/>
  <c r="F41" i="17"/>
  <c r="I52" i="17"/>
  <c r="I43" i="17"/>
  <c r="J51" i="17"/>
  <c r="J42" i="17"/>
  <c r="I55" i="17"/>
  <c r="I51" i="17"/>
  <c r="I42" i="17"/>
  <c r="I41" i="17"/>
  <c r="J25" i="17"/>
  <c r="A35" i="17"/>
  <c r="I27" i="16"/>
  <c r="J27" i="16" s="1"/>
  <c r="J26" i="16"/>
  <c r="I23" i="16"/>
  <c r="I24" i="16"/>
  <c r="A32" i="16"/>
  <c r="J22" i="16"/>
  <c r="I25" i="16"/>
  <c r="J54" i="16"/>
  <c r="F52" i="16"/>
  <c r="J45" i="16"/>
  <c r="F43" i="16"/>
  <c r="J41" i="16"/>
  <c r="I54" i="16"/>
  <c r="I45" i="16"/>
  <c r="I41" i="16"/>
  <c r="F55" i="16"/>
  <c r="J53" i="16"/>
  <c r="F51" i="16"/>
  <c r="J44" i="16"/>
  <c r="F42" i="16"/>
  <c r="I53" i="16"/>
  <c r="I44" i="16"/>
  <c r="I55" i="16"/>
  <c r="F54" i="16"/>
  <c r="J52" i="16"/>
  <c r="F45" i="16"/>
  <c r="J43" i="16"/>
  <c r="F41" i="16"/>
  <c r="I42" i="16"/>
  <c r="I52" i="16"/>
  <c r="I43" i="16"/>
  <c r="I51" i="16"/>
  <c r="J55" i="16"/>
  <c r="F53" i="16"/>
  <c r="J51" i="16"/>
  <c r="F44" i="16"/>
  <c r="J42" i="16"/>
  <c r="I27" i="14"/>
  <c r="J27" i="14" s="1"/>
  <c r="J54" i="14"/>
  <c r="F52" i="14"/>
  <c r="J45" i="14"/>
  <c r="F43" i="14"/>
  <c r="J41" i="14"/>
  <c r="F53" i="14"/>
  <c r="I54" i="14"/>
  <c r="I45" i="14"/>
  <c r="I41" i="14"/>
  <c r="F55" i="14"/>
  <c r="J53" i="14"/>
  <c r="F51" i="14"/>
  <c r="J44" i="14"/>
  <c r="F42" i="14"/>
  <c r="I53" i="14"/>
  <c r="I44" i="14"/>
  <c r="J55" i="14"/>
  <c r="F44" i="14"/>
  <c r="I51" i="14"/>
  <c r="F54" i="14"/>
  <c r="J52" i="14"/>
  <c r="F45" i="14"/>
  <c r="J43" i="14"/>
  <c r="F41" i="14"/>
  <c r="J42" i="14"/>
  <c r="I42" i="14"/>
  <c r="I52" i="14"/>
  <c r="I43" i="14"/>
  <c r="J51" i="14"/>
  <c r="I55" i="14"/>
  <c r="J23" i="14"/>
  <c r="A33" i="14"/>
  <c r="I25" i="14"/>
  <c r="I24" i="14"/>
  <c r="I22" i="14"/>
  <c r="I26" i="14"/>
  <c r="J24" i="12"/>
  <c r="A34" i="12"/>
  <c r="I22" i="12"/>
  <c r="I27" i="12"/>
  <c r="J27" i="12" s="1"/>
  <c r="J54" i="12"/>
  <c r="F52" i="12"/>
  <c r="J45" i="12"/>
  <c r="F43" i="12"/>
  <c r="J41" i="12"/>
  <c r="I54" i="12"/>
  <c r="I45" i="12"/>
  <c r="I41" i="12"/>
  <c r="F55" i="12"/>
  <c r="J53" i="12"/>
  <c r="F51" i="12"/>
  <c r="J44" i="12"/>
  <c r="F42" i="12"/>
  <c r="F54" i="12"/>
  <c r="J52" i="12"/>
  <c r="F45" i="12"/>
  <c r="J43" i="12"/>
  <c r="F41" i="12"/>
  <c r="I53" i="12"/>
  <c r="I52" i="12"/>
  <c r="I43" i="12"/>
  <c r="J55" i="12"/>
  <c r="F53" i="12"/>
  <c r="J51" i="12"/>
  <c r="F44" i="12"/>
  <c r="J42" i="12"/>
  <c r="I55" i="12"/>
  <c r="I51" i="12"/>
  <c r="I42" i="12"/>
  <c r="I44" i="12"/>
  <c r="I26" i="12"/>
  <c r="I23" i="12"/>
  <c r="I25" i="12"/>
  <c r="A32" i="11"/>
  <c r="J22" i="11"/>
  <c r="J51" i="11"/>
  <c r="I26" i="11"/>
  <c r="I24" i="11"/>
  <c r="I41" i="11"/>
  <c r="F51" i="11"/>
  <c r="H51" i="11" s="1"/>
  <c r="I23" i="11"/>
  <c r="J54" i="11"/>
  <c r="I45" i="11"/>
  <c r="I44" i="11"/>
  <c r="I25" i="11"/>
  <c r="G45" i="11"/>
  <c r="B63" i="11"/>
  <c r="G43" i="11"/>
  <c r="H53" i="11"/>
  <c r="B68" i="11"/>
  <c r="G53" i="11"/>
  <c r="B62" i="11"/>
  <c r="H54" i="11"/>
  <c r="G54" i="11"/>
  <c r="H52" i="11"/>
  <c r="B67" i="11"/>
  <c r="G52" i="11"/>
  <c r="B70" i="11"/>
  <c r="G55" i="11"/>
  <c r="H55" i="11"/>
  <c r="I27" i="11"/>
  <c r="J27" i="11" s="1"/>
  <c r="H41" i="11"/>
  <c r="B61" i="11"/>
  <c r="G41" i="11"/>
  <c r="B64" i="11"/>
  <c r="G44" i="11"/>
  <c r="J26" i="9"/>
  <c r="A36" i="9"/>
  <c r="J54" i="9"/>
  <c r="F52" i="9"/>
  <c r="J45" i="9"/>
  <c r="F43" i="9"/>
  <c r="J41" i="9"/>
  <c r="I54" i="9"/>
  <c r="I45" i="9"/>
  <c r="I41" i="9"/>
  <c r="F55" i="9"/>
  <c r="J53" i="9"/>
  <c r="F51" i="9"/>
  <c r="J44" i="9"/>
  <c r="F42" i="9"/>
  <c r="I53" i="9"/>
  <c r="I44" i="9"/>
  <c r="F54" i="9"/>
  <c r="J52" i="9"/>
  <c r="F45" i="9"/>
  <c r="J43" i="9"/>
  <c r="F41" i="9"/>
  <c r="I52" i="9"/>
  <c r="I43" i="9"/>
  <c r="J55" i="9"/>
  <c r="F53" i="9"/>
  <c r="J51" i="9"/>
  <c r="F44" i="9"/>
  <c r="J42" i="9"/>
  <c r="I55" i="9"/>
  <c r="I51" i="9"/>
  <c r="I42" i="9"/>
  <c r="I25" i="9"/>
  <c r="I24" i="9"/>
  <c r="I22" i="9"/>
  <c r="I27" i="9"/>
  <c r="J27" i="9" s="1"/>
  <c r="I23" i="9"/>
  <c r="I26" i="7"/>
  <c r="I24" i="7"/>
  <c r="I23" i="7"/>
  <c r="A32" i="7"/>
  <c r="J22" i="7"/>
  <c r="I25" i="7"/>
  <c r="I27" i="7"/>
  <c r="J27" i="7" s="1"/>
  <c r="I54" i="7"/>
  <c r="I45" i="7"/>
  <c r="I41" i="7"/>
  <c r="I51" i="7"/>
  <c r="F43" i="7"/>
  <c r="F55" i="7"/>
  <c r="J53" i="7"/>
  <c r="F51" i="7"/>
  <c r="J44" i="7"/>
  <c r="F42" i="7"/>
  <c r="I42" i="7"/>
  <c r="J54" i="7"/>
  <c r="J45" i="7"/>
  <c r="I53" i="7"/>
  <c r="I44" i="7"/>
  <c r="F52" i="7"/>
  <c r="F54" i="7"/>
  <c r="J52" i="7"/>
  <c r="F45" i="7"/>
  <c r="J43" i="7"/>
  <c r="F41" i="7"/>
  <c r="I55" i="7"/>
  <c r="I52" i="7"/>
  <c r="I43" i="7"/>
  <c r="J55" i="7"/>
  <c r="F53" i="7"/>
  <c r="J51" i="7"/>
  <c r="F44" i="7"/>
  <c r="J42" i="7"/>
  <c r="J41" i="7"/>
  <c r="A32" i="6"/>
  <c r="J22" i="6"/>
  <c r="J54" i="6"/>
  <c r="F52" i="6"/>
  <c r="J45" i="6"/>
  <c r="J41" i="6"/>
  <c r="I54" i="6"/>
  <c r="I45" i="6"/>
  <c r="I41" i="6"/>
  <c r="F55" i="6"/>
  <c r="J53" i="6"/>
  <c r="F51" i="6"/>
  <c r="J44" i="6"/>
  <c r="F42" i="6"/>
  <c r="J52" i="6"/>
  <c r="F45" i="6"/>
  <c r="I42" i="6"/>
  <c r="F43" i="6"/>
  <c r="I53" i="6"/>
  <c r="I44" i="6"/>
  <c r="F54" i="6"/>
  <c r="J43" i="6"/>
  <c r="F41" i="6"/>
  <c r="I55" i="6"/>
  <c r="I52" i="6"/>
  <c r="I43" i="6"/>
  <c r="J55" i="6"/>
  <c r="F53" i="6"/>
  <c r="J51" i="6"/>
  <c r="F44" i="6"/>
  <c r="J42" i="6"/>
  <c r="I51" i="6"/>
  <c r="I27" i="6"/>
  <c r="J27" i="6" s="1"/>
  <c r="I23" i="6"/>
  <c r="I25" i="6"/>
  <c r="I24" i="6"/>
  <c r="I26" i="6"/>
  <c r="A32" i="5"/>
  <c r="J22" i="5"/>
  <c r="J54" i="5"/>
  <c r="F52" i="5"/>
  <c r="J45" i="5"/>
  <c r="F43" i="5"/>
  <c r="J41" i="5"/>
  <c r="F41" i="5"/>
  <c r="I54" i="5"/>
  <c r="I45" i="5"/>
  <c r="I41" i="5"/>
  <c r="F45" i="5"/>
  <c r="F55" i="5"/>
  <c r="J53" i="5"/>
  <c r="F51" i="5"/>
  <c r="J44" i="5"/>
  <c r="F42" i="5"/>
  <c r="J43" i="5"/>
  <c r="I53" i="5"/>
  <c r="I44" i="5"/>
  <c r="J52" i="5"/>
  <c r="I52" i="5"/>
  <c r="I43" i="5"/>
  <c r="J55" i="5"/>
  <c r="F53" i="5"/>
  <c r="J51" i="5"/>
  <c r="F44" i="5"/>
  <c r="J42" i="5"/>
  <c r="I55" i="5"/>
  <c r="I51" i="5"/>
  <c r="I42" i="5"/>
  <c r="F54" i="5"/>
  <c r="I26" i="5"/>
  <c r="I25" i="5"/>
  <c r="I23" i="5"/>
  <c r="I27" i="5"/>
  <c r="J27" i="5" s="1"/>
  <c r="I24" i="5"/>
  <c r="E27" i="2"/>
  <c r="H27" i="2"/>
  <c r="G27" i="2"/>
  <c r="I22" i="2"/>
  <c r="I25" i="2"/>
  <c r="I24" i="2"/>
  <c r="I23" i="2"/>
  <c r="J23" i="2" s="1"/>
  <c r="H45" i="11" l="1"/>
  <c r="J22" i="17"/>
  <c r="H53" i="2"/>
  <c r="B68" i="2"/>
  <c r="G53" i="2"/>
  <c r="J24" i="17"/>
  <c r="J22" i="31"/>
  <c r="B63" i="2"/>
  <c r="H43" i="2"/>
  <c r="G43" i="2"/>
  <c r="H52" i="2"/>
  <c r="B67" i="2"/>
  <c r="G52" i="2"/>
  <c r="K52" i="2" s="1"/>
  <c r="H54" i="2"/>
  <c r="B69" i="2"/>
  <c r="G54" i="2"/>
  <c r="H55" i="2"/>
  <c r="B70" i="2"/>
  <c r="G55" i="2"/>
  <c r="H51" i="2"/>
  <c r="B66" i="2"/>
  <c r="G51" i="2"/>
  <c r="B65" i="2"/>
  <c r="H45" i="2"/>
  <c r="G45" i="2"/>
  <c r="G42" i="2"/>
  <c r="B62" i="2"/>
  <c r="H42" i="2"/>
  <c r="B64" i="2"/>
  <c r="H44" i="2"/>
  <c r="G44" i="2"/>
  <c r="H41" i="2"/>
  <c r="B61" i="2"/>
  <c r="G41" i="2"/>
  <c r="J23" i="40"/>
  <c r="H45" i="40"/>
  <c r="B65" i="40"/>
  <c r="G45" i="40"/>
  <c r="H51" i="40"/>
  <c r="B66" i="40"/>
  <c r="G51" i="40"/>
  <c r="H43" i="40"/>
  <c r="B63" i="40"/>
  <c r="G43" i="40"/>
  <c r="H54" i="40"/>
  <c r="B69" i="40"/>
  <c r="G54" i="40"/>
  <c r="H55" i="40"/>
  <c r="B70" i="40"/>
  <c r="G55" i="40"/>
  <c r="B67" i="40"/>
  <c r="G52" i="40"/>
  <c r="H52" i="40"/>
  <c r="J26" i="40"/>
  <c r="A36" i="40"/>
  <c r="H53" i="40"/>
  <c r="B68" i="40"/>
  <c r="G53" i="40"/>
  <c r="K53" i="40" s="1"/>
  <c r="J24" i="40"/>
  <c r="A34" i="40"/>
  <c r="H44" i="40"/>
  <c r="B64" i="40"/>
  <c r="G44" i="40"/>
  <c r="J25" i="40"/>
  <c r="A35" i="40"/>
  <c r="H41" i="40"/>
  <c r="B61" i="40"/>
  <c r="G41" i="40"/>
  <c r="H42" i="40"/>
  <c r="B62" i="40"/>
  <c r="G42" i="40"/>
  <c r="H41" i="39"/>
  <c r="B61" i="39"/>
  <c r="G41" i="39"/>
  <c r="H42" i="39"/>
  <c r="B62" i="39"/>
  <c r="G42" i="39"/>
  <c r="H44" i="39"/>
  <c r="B64" i="39"/>
  <c r="G44" i="39"/>
  <c r="B63" i="39"/>
  <c r="H43" i="39"/>
  <c r="G43" i="39"/>
  <c r="H45" i="39"/>
  <c r="B65" i="39"/>
  <c r="G45" i="39"/>
  <c r="J26" i="39"/>
  <c r="A36" i="39"/>
  <c r="H53" i="39"/>
  <c r="B68" i="39"/>
  <c r="G53" i="39"/>
  <c r="K53" i="39" s="1"/>
  <c r="G52" i="39"/>
  <c r="B67" i="39"/>
  <c r="H52" i="39"/>
  <c r="H54" i="39"/>
  <c r="B69" i="39"/>
  <c r="G54" i="39"/>
  <c r="H55" i="39"/>
  <c r="B70" i="39"/>
  <c r="G55" i="39"/>
  <c r="H51" i="39"/>
  <c r="B66" i="39"/>
  <c r="G51" i="39"/>
  <c r="A32" i="39"/>
  <c r="J22" i="39"/>
  <c r="J23" i="39"/>
  <c r="A33" i="39"/>
  <c r="J24" i="39"/>
  <c r="A34" i="39"/>
  <c r="A32" i="38"/>
  <c r="J22" i="38"/>
  <c r="J24" i="38"/>
  <c r="A34" i="38"/>
  <c r="J23" i="38"/>
  <c r="A33" i="38"/>
  <c r="H54" i="38"/>
  <c r="B69" i="38"/>
  <c r="G54" i="38"/>
  <c r="H41" i="38"/>
  <c r="B61" i="38"/>
  <c r="G41" i="38"/>
  <c r="H42" i="38"/>
  <c r="B62" i="38"/>
  <c r="G42" i="38"/>
  <c r="H52" i="38"/>
  <c r="G52" i="38"/>
  <c r="B67" i="38"/>
  <c r="J25" i="38"/>
  <c r="A35" i="38"/>
  <c r="H53" i="38"/>
  <c r="B68" i="38"/>
  <c r="G53" i="38"/>
  <c r="H44" i="38"/>
  <c r="B64" i="38"/>
  <c r="G44" i="38"/>
  <c r="H45" i="38"/>
  <c r="B65" i="38"/>
  <c r="G45" i="38"/>
  <c r="H51" i="38"/>
  <c r="B66" i="38"/>
  <c r="G51" i="38"/>
  <c r="H43" i="38"/>
  <c r="B63" i="38"/>
  <c r="G43" i="38"/>
  <c r="H55" i="38"/>
  <c r="B70" i="38"/>
  <c r="G55" i="38"/>
  <c r="K55" i="38" s="1"/>
  <c r="H54" i="36"/>
  <c r="B69" i="36"/>
  <c r="G54" i="36"/>
  <c r="B68" i="36"/>
  <c r="H53" i="36"/>
  <c r="G53" i="36"/>
  <c r="B67" i="36"/>
  <c r="H52" i="36"/>
  <c r="G52" i="36"/>
  <c r="A32" i="36"/>
  <c r="J22" i="36"/>
  <c r="H41" i="36"/>
  <c r="B61" i="36"/>
  <c r="G41" i="36"/>
  <c r="H51" i="36"/>
  <c r="B66" i="36"/>
  <c r="G51" i="36"/>
  <c r="J26" i="36"/>
  <c r="A36" i="36"/>
  <c r="H45" i="36"/>
  <c r="B65" i="36"/>
  <c r="G45" i="36"/>
  <c r="J25" i="36"/>
  <c r="A35" i="36"/>
  <c r="H42" i="36"/>
  <c r="B62" i="36"/>
  <c r="G42" i="36"/>
  <c r="K42" i="36" s="1"/>
  <c r="G44" i="36"/>
  <c r="H44" i="36"/>
  <c r="B64" i="36"/>
  <c r="H55" i="36"/>
  <c r="B70" i="36"/>
  <c r="G55" i="36"/>
  <c r="H43" i="36"/>
  <c r="B63" i="36"/>
  <c r="G43" i="36"/>
  <c r="H51" i="35"/>
  <c r="B66" i="35"/>
  <c r="G51" i="35"/>
  <c r="A36" i="35"/>
  <c r="J26" i="35"/>
  <c r="H54" i="35"/>
  <c r="B69" i="35"/>
  <c r="G54" i="35"/>
  <c r="H55" i="35"/>
  <c r="B70" i="35"/>
  <c r="G55" i="35"/>
  <c r="H43" i="35"/>
  <c r="B63" i="35"/>
  <c r="G43" i="35"/>
  <c r="K43" i="35" s="1"/>
  <c r="H45" i="35"/>
  <c r="B65" i="35"/>
  <c r="G45" i="35"/>
  <c r="A35" i="35"/>
  <c r="J25" i="35"/>
  <c r="J23" i="35"/>
  <c r="A33" i="35"/>
  <c r="G44" i="35"/>
  <c r="K44" i="35" s="1"/>
  <c r="B64" i="35"/>
  <c r="H44" i="35"/>
  <c r="H52" i="35"/>
  <c r="B67" i="35"/>
  <c r="G52" i="35"/>
  <c r="A32" i="35"/>
  <c r="J22" i="35"/>
  <c r="G53" i="35"/>
  <c r="H53" i="35"/>
  <c r="B68" i="35"/>
  <c r="H41" i="35"/>
  <c r="B61" i="35"/>
  <c r="G41" i="35"/>
  <c r="H42" i="35"/>
  <c r="B62" i="35"/>
  <c r="G42" i="35"/>
  <c r="K42" i="35" s="1"/>
  <c r="H45" i="34"/>
  <c r="B65" i="34"/>
  <c r="G45" i="34"/>
  <c r="H51" i="34"/>
  <c r="B66" i="34"/>
  <c r="G51" i="34"/>
  <c r="H43" i="34"/>
  <c r="B63" i="34"/>
  <c r="G43" i="34"/>
  <c r="H54" i="34"/>
  <c r="B69" i="34"/>
  <c r="G54" i="34"/>
  <c r="H55" i="34"/>
  <c r="B70" i="34"/>
  <c r="G55" i="34"/>
  <c r="B67" i="34"/>
  <c r="G52" i="34"/>
  <c r="H52" i="34"/>
  <c r="H53" i="34"/>
  <c r="B68" i="34"/>
  <c r="G53" i="34"/>
  <c r="A32" i="34"/>
  <c r="J22" i="34"/>
  <c r="J24" i="34"/>
  <c r="A34" i="34"/>
  <c r="J23" i="34"/>
  <c r="A33" i="34"/>
  <c r="H44" i="34"/>
  <c r="B64" i="34"/>
  <c r="G44" i="34"/>
  <c r="K44" i="34" s="1"/>
  <c r="H41" i="34"/>
  <c r="B61" i="34"/>
  <c r="G41" i="34"/>
  <c r="H42" i="34"/>
  <c r="B62" i="34"/>
  <c r="G42" i="34"/>
  <c r="H44" i="33"/>
  <c r="B64" i="33"/>
  <c r="G44" i="33"/>
  <c r="B63" i="33"/>
  <c r="G43" i="33"/>
  <c r="H43" i="33"/>
  <c r="H45" i="33"/>
  <c r="B65" i="33"/>
  <c r="G45" i="33"/>
  <c r="H53" i="33"/>
  <c r="B68" i="33"/>
  <c r="G53" i="33"/>
  <c r="K53" i="33" s="1"/>
  <c r="H54" i="33"/>
  <c r="B69" i="33"/>
  <c r="G54" i="33"/>
  <c r="H55" i="33"/>
  <c r="B70" i="33"/>
  <c r="G55" i="33"/>
  <c r="H51" i="33"/>
  <c r="B66" i="33"/>
  <c r="G51" i="33"/>
  <c r="J24" i="33"/>
  <c r="A34" i="33"/>
  <c r="G52" i="33"/>
  <c r="H52" i="33"/>
  <c r="B67" i="33"/>
  <c r="A32" i="33"/>
  <c r="J22" i="33"/>
  <c r="J23" i="33"/>
  <c r="A33" i="33"/>
  <c r="J26" i="33"/>
  <c r="A36" i="33"/>
  <c r="H41" i="33"/>
  <c r="B61" i="33"/>
  <c r="G41" i="33"/>
  <c r="H42" i="33"/>
  <c r="B62" i="33"/>
  <c r="G42" i="33"/>
  <c r="H41" i="32"/>
  <c r="B61" i="32"/>
  <c r="G41" i="32"/>
  <c r="J24" i="32"/>
  <c r="A34" i="32"/>
  <c r="H44" i="32"/>
  <c r="B64" i="32"/>
  <c r="G44" i="32"/>
  <c r="H53" i="32"/>
  <c r="B68" i="32"/>
  <c r="G53" i="32"/>
  <c r="K53" i="32" s="1"/>
  <c r="H42" i="32"/>
  <c r="B62" i="32"/>
  <c r="G42" i="32"/>
  <c r="K42" i="32" s="1"/>
  <c r="A32" i="32"/>
  <c r="J22" i="32"/>
  <c r="H45" i="32"/>
  <c r="B65" i="32"/>
  <c r="G45" i="32"/>
  <c r="H51" i="32"/>
  <c r="B66" i="32"/>
  <c r="G51" i="32"/>
  <c r="K51" i="32" s="1"/>
  <c r="H54" i="32"/>
  <c r="B69" i="32"/>
  <c r="G54" i="32"/>
  <c r="H55" i="32"/>
  <c r="B70" i="32"/>
  <c r="G55" i="32"/>
  <c r="H43" i="32"/>
  <c r="B63" i="32"/>
  <c r="G43" i="32"/>
  <c r="B67" i="32"/>
  <c r="G52" i="32"/>
  <c r="H52" i="32"/>
  <c r="H42" i="31"/>
  <c r="B62" i="31"/>
  <c r="G42" i="31"/>
  <c r="G30" i="31"/>
  <c r="F30" i="31"/>
  <c r="C31" i="31"/>
  <c r="E30" i="31"/>
  <c r="G31" i="31"/>
  <c r="D30" i="31"/>
  <c r="D31" i="31"/>
  <c r="F31" i="31"/>
  <c r="C30" i="31"/>
  <c r="E31" i="31"/>
  <c r="H41" i="31"/>
  <c r="B61" i="31"/>
  <c r="G41" i="31"/>
  <c r="H53" i="31"/>
  <c r="B68" i="31"/>
  <c r="G53" i="31"/>
  <c r="B63" i="31"/>
  <c r="G43" i="31"/>
  <c r="H43" i="31"/>
  <c r="H51" i="31"/>
  <c r="B66" i="31"/>
  <c r="G51" i="31"/>
  <c r="H44" i="31"/>
  <c r="B64" i="31"/>
  <c r="G44" i="31"/>
  <c r="H55" i="31"/>
  <c r="B70" i="31"/>
  <c r="G55" i="31"/>
  <c r="H45" i="31"/>
  <c r="B65" i="31"/>
  <c r="G45" i="31"/>
  <c r="H54" i="31"/>
  <c r="B69" i="31"/>
  <c r="G54" i="31"/>
  <c r="H52" i="31"/>
  <c r="G52" i="31"/>
  <c r="K52" i="31" s="1"/>
  <c r="B67" i="31"/>
  <c r="H41" i="30"/>
  <c r="B61" i="30"/>
  <c r="G41" i="30"/>
  <c r="B63" i="30"/>
  <c r="G43" i="30"/>
  <c r="H43" i="30"/>
  <c r="H55" i="30"/>
  <c r="B70" i="30"/>
  <c r="G55" i="30"/>
  <c r="H44" i="30"/>
  <c r="B64" i="30"/>
  <c r="G44" i="30"/>
  <c r="K44" i="30" s="1"/>
  <c r="J23" i="30"/>
  <c r="A33" i="30"/>
  <c r="H53" i="30"/>
  <c r="B68" i="30"/>
  <c r="G53" i="30"/>
  <c r="H42" i="30"/>
  <c r="B62" i="30"/>
  <c r="G42" i="30"/>
  <c r="K42" i="30" s="1"/>
  <c r="J25" i="30"/>
  <c r="A35" i="30"/>
  <c r="H45" i="30"/>
  <c r="B65" i="30"/>
  <c r="G45" i="30"/>
  <c r="J24" i="30"/>
  <c r="A34" i="30"/>
  <c r="C30" i="30" s="1" a="1"/>
  <c r="H51" i="30"/>
  <c r="B66" i="30"/>
  <c r="G51" i="30"/>
  <c r="H52" i="30"/>
  <c r="B67" i="30"/>
  <c r="G52" i="30"/>
  <c r="H54" i="30"/>
  <c r="B69" i="30"/>
  <c r="G54" i="30"/>
  <c r="K54" i="30" s="1"/>
  <c r="H42" i="11"/>
  <c r="A34" i="20"/>
  <c r="C30" i="20" a="1"/>
  <c r="G31" i="20" s="1"/>
  <c r="A33" i="21"/>
  <c r="B67" i="21"/>
  <c r="G52" i="21"/>
  <c r="H52" i="21"/>
  <c r="H55" i="21"/>
  <c r="B70" i="21"/>
  <c r="G55" i="21"/>
  <c r="A32" i="21"/>
  <c r="J22" i="21"/>
  <c r="H54" i="21"/>
  <c r="B69" i="21"/>
  <c r="G54" i="21"/>
  <c r="H44" i="21"/>
  <c r="B64" i="21"/>
  <c r="G44" i="21"/>
  <c r="H41" i="21"/>
  <c r="B61" i="21"/>
  <c r="G41" i="21"/>
  <c r="H42" i="21"/>
  <c r="B62" i="21"/>
  <c r="G42" i="21"/>
  <c r="H53" i="21"/>
  <c r="B68" i="21"/>
  <c r="G53" i="21"/>
  <c r="J24" i="21"/>
  <c r="A34" i="21"/>
  <c r="H45" i="21"/>
  <c r="B65" i="21"/>
  <c r="G45" i="21"/>
  <c r="H51" i="21"/>
  <c r="B66" i="21"/>
  <c r="G51" i="21"/>
  <c r="H43" i="21"/>
  <c r="B63" i="21"/>
  <c r="G43" i="21"/>
  <c r="A36" i="21"/>
  <c r="J26" i="21"/>
  <c r="G43" i="20"/>
  <c r="B63" i="20"/>
  <c r="H43" i="20"/>
  <c r="H53" i="20"/>
  <c r="B68" i="20"/>
  <c r="G53" i="20"/>
  <c r="H54" i="20"/>
  <c r="B69" i="20"/>
  <c r="G54" i="20"/>
  <c r="H51" i="20"/>
  <c r="B66" i="20"/>
  <c r="G51" i="20"/>
  <c r="H55" i="20"/>
  <c r="B70" i="20"/>
  <c r="G55" i="20"/>
  <c r="G52" i="20"/>
  <c r="H52" i="20"/>
  <c r="B67" i="20"/>
  <c r="H41" i="20"/>
  <c r="B61" i="20"/>
  <c r="G41" i="20"/>
  <c r="K41" i="20" s="1"/>
  <c r="H42" i="20"/>
  <c r="B62" i="20"/>
  <c r="G42" i="20"/>
  <c r="H44" i="20"/>
  <c r="B64" i="20"/>
  <c r="G44" i="20"/>
  <c r="H45" i="20"/>
  <c r="B65" i="20"/>
  <c r="G45" i="20"/>
  <c r="H55" i="19"/>
  <c r="B70" i="19"/>
  <c r="G55" i="19"/>
  <c r="H41" i="19"/>
  <c r="B61" i="19"/>
  <c r="G41" i="19"/>
  <c r="H53" i="19"/>
  <c r="B68" i="19"/>
  <c r="G53" i="19"/>
  <c r="G52" i="19"/>
  <c r="B67" i="19"/>
  <c r="H52" i="19"/>
  <c r="H45" i="19"/>
  <c r="B65" i="19"/>
  <c r="G45" i="19"/>
  <c r="H42" i="19"/>
  <c r="B62" i="19"/>
  <c r="G42" i="19"/>
  <c r="J24" i="19"/>
  <c r="A34" i="19"/>
  <c r="A32" i="19"/>
  <c r="J22" i="19"/>
  <c r="J25" i="19"/>
  <c r="A35" i="19"/>
  <c r="H44" i="19"/>
  <c r="B64" i="19"/>
  <c r="G44" i="19"/>
  <c r="H54" i="19"/>
  <c r="B69" i="19"/>
  <c r="G54" i="19"/>
  <c r="H51" i="19"/>
  <c r="B66" i="19"/>
  <c r="G51" i="19"/>
  <c r="J23" i="19"/>
  <c r="A33" i="19"/>
  <c r="B63" i="19"/>
  <c r="G43" i="19"/>
  <c r="H43" i="19"/>
  <c r="J26" i="19"/>
  <c r="A36" i="19"/>
  <c r="C30" i="17" a="1"/>
  <c r="G30" i="17" s="1"/>
  <c r="H55" i="17"/>
  <c r="B70" i="17"/>
  <c r="G55" i="17"/>
  <c r="H41" i="17"/>
  <c r="B61" i="17"/>
  <c r="G41" i="17"/>
  <c r="H53" i="17"/>
  <c r="B68" i="17"/>
  <c r="G53" i="17"/>
  <c r="H44" i="17"/>
  <c r="B64" i="17"/>
  <c r="G44" i="17"/>
  <c r="H45" i="17"/>
  <c r="B65" i="17"/>
  <c r="G45" i="17"/>
  <c r="H42" i="17"/>
  <c r="B62" i="17"/>
  <c r="G42" i="17"/>
  <c r="H43" i="17"/>
  <c r="B63" i="17"/>
  <c r="G43" i="17"/>
  <c r="H54" i="17"/>
  <c r="B69" i="17"/>
  <c r="G54" i="17"/>
  <c r="H51" i="17"/>
  <c r="B66" i="17"/>
  <c r="G51" i="17"/>
  <c r="H52" i="17"/>
  <c r="B67" i="17"/>
  <c r="G52" i="17"/>
  <c r="G43" i="16"/>
  <c r="B63" i="16"/>
  <c r="H43" i="16"/>
  <c r="J25" i="16"/>
  <c r="A35" i="16"/>
  <c r="H44" i="16"/>
  <c r="B64" i="16"/>
  <c r="G44" i="16"/>
  <c r="H41" i="16"/>
  <c r="B61" i="16"/>
  <c r="G41" i="16"/>
  <c r="H42" i="16"/>
  <c r="B62" i="16"/>
  <c r="G42" i="16"/>
  <c r="J24" i="16"/>
  <c r="A34" i="16"/>
  <c r="H53" i="16"/>
  <c r="B68" i="16"/>
  <c r="G53" i="16"/>
  <c r="H45" i="16"/>
  <c r="B65" i="16"/>
  <c r="G45" i="16"/>
  <c r="H51" i="16"/>
  <c r="B66" i="16"/>
  <c r="G51" i="16"/>
  <c r="G52" i="16"/>
  <c r="H52" i="16"/>
  <c r="B67" i="16"/>
  <c r="J23" i="16"/>
  <c r="A33" i="16"/>
  <c r="H54" i="16"/>
  <c r="B69" i="16"/>
  <c r="G54" i="16"/>
  <c r="H55" i="16"/>
  <c r="B70" i="16"/>
  <c r="G55" i="16"/>
  <c r="G43" i="14"/>
  <c r="B63" i="14"/>
  <c r="H43" i="14"/>
  <c r="H45" i="14"/>
  <c r="B65" i="14"/>
  <c r="G45" i="14"/>
  <c r="H42" i="14"/>
  <c r="B62" i="14"/>
  <c r="G42" i="14"/>
  <c r="H53" i="14"/>
  <c r="B68" i="14"/>
  <c r="G53" i="14"/>
  <c r="H51" i="14"/>
  <c r="B66" i="14"/>
  <c r="G51" i="14"/>
  <c r="H54" i="14"/>
  <c r="B69" i="14"/>
  <c r="G54" i="14"/>
  <c r="J24" i="14"/>
  <c r="A34" i="14"/>
  <c r="H44" i="14"/>
  <c r="B64" i="14"/>
  <c r="G44" i="14"/>
  <c r="H55" i="14"/>
  <c r="B70" i="14"/>
  <c r="G55" i="14"/>
  <c r="H52" i="14"/>
  <c r="B67" i="14"/>
  <c r="G52" i="14"/>
  <c r="J25" i="14"/>
  <c r="A35" i="14"/>
  <c r="J26" i="14"/>
  <c r="A36" i="14"/>
  <c r="A32" i="14"/>
  <c r="J22" i="14"/>
  <c r="H41" i="14"/>
  <c r="B61" i="14"/>
  <c r="G41" i="14"/>
  <c r="B61" i="12"/>
  <c r="G41" i="12"/>
  <c r="H41" i="12"/>
  <c r="H43" i="12"/>
  <c r="B63" i="12"/>
  <c r="G43" i="12"/>
  <c r="H51" i="12"/>
  <c r="B66" i="12"/>
  <c r="G51" i="12"/>
  <c r="J25" i="12"/>
  <c r="A35" i="12"/>
  <c r="H44" i="12"/>
  <c r="B64" i="12"/>
  <c r="G44" i="12"/>
  <c r="H55" i="12"/>
  <c r="B70" i="12"/>
  <c r="G55" i="12"/>
  <c r="A33" i="12"/>
  <c r="J23" i="12"/>
  <c r="G45" i="12"/>
  <c r="H45" i="12"/>
  <c r="B65" i="12"/>
  <c r="J26" i="12"/>
  <c r="A36" i="12"/>
  <c r="H53" i="12"/>
  <c r="B68" i="12"/>
  <c r="G53" i="12"/>
  <c r="A32" i="12"/>
  <c r="J22" i="12"/>
  <c r="H54" i="12"/>
  <c r="G54" i="12"/>
  <c r="B69" i="12"/>
  <c r="H52" i="12"/>
  <c r="B67" i="12"/>
  <c r="G52" i="12"/>
  <c r="H42" i="12"/>
  <c r="B62" i="12"/>
  <c r="G42" i="12"/>
  <c r="G51" i="11"/>
  <c r="A33" i="11"/>
  <c r="J23" i="11"/>
  <c r="J24" i="11"/>
  <c r="A34" i="11"/>
  <c r="J25" i="11"/>
  <c r="A35" i="11"/>
  <c r="A36" i="11"/>
  <c r="J26" i="11"/>
  <c r="B66" i="11"/>
  <c r="K53" i="11"/>
  <c r="K54" i="11"/>
  <c r="K43" i="11"/>
  <c r="K44" i="11"/>
  <c r="K55" i="11"/>
  <c r="K41" i="11"/>
  <c r="K51" i="11"/>
  <c r="K42" i="11"/>
  <c r="K45" i="11"/>
  <c r="K52" i="11"/>
  <c r="J25" i="9"/>
  <c r="A35" i="9"/>
  <c r="H42" i="9"/>
  <c r="B62" i="9"/>
  <c r="G42" i="9"/>
  <c r="H41" i="9"/>
  <c r="B61" i="9"/>
  <c r="G41" i="9"/>
  <c r="B63" i="9"/>
  <c r="G43" i="9"/>
  <c r="H43" i="9"/>
  <c r="H44" i="9"/>
  <c r="B64" i="9"/>
  <c r="G44" i="9"/>
  <c r="H45" i="9"/>
  <c r="B65" i="9"/>
  <c r="G45" i="9"/>
  <c r="G52" i="9"/>
  <c r="H52" i="9"/>
  <c r="B67" i="9"/>
  <c r="A32" i="9"/>
  <c r="J22" i="9"/>
  <c r="H55" i="9"/>
  <c r="B70" i="9"/>
  <c r="G55" i="9"/>
  <c r="J23" i="9"/>
  <c r="A33" i="9"/>
  <c r="H51" i="9"/>
  <c r="B66" i="9"/>
  <c r="G51" i="9"/>
  <c r="J24" i="9"/>
  <c r="A34" i="9"/>
  <c r="H53" i="9"/>
  <c r="B68" i="9"/>
  <c r="G53" i="9"/>
  <c r="H54" i="9"/>
  <c r="B69" i="9"/>
  <c r="G54" i="9"/>
  <c r="H54" i="7"/>
  <c r="B69" i="7"/>
  <c r="G54" i="7"/>
  <c r="B66" i="7"/>
  <c r="G51" i="7"/>
  <c r="H51" i="7"/>
  <c r="J25" i="7"/>
  <c r="A35" i="7"/>
  <c r="B70" i="7"/>
  <c r="G55" i="7"/>
  <c r="H55" i="7"/>
  <c r="B63" i="7"/>
  <c r="G43" i="7"/>
  <c r="H43" i="7"/>
  <c r="G52" i="7"/>
  <c r="H52" i="7"/>
  <c r="B67" i="7"/>
  <c r="J23" i="7"/>
  <c r="A33" i="7"/>
  <c r="H41" i="7"/>
  <c r="B61" i="7"/>
  <c r="G41" i="7"/>
  <c r="H44" i="7"/>
  <c r="B64" i="7"/>
  <c r="G44" i="7"/>
  <c r="H45" i="7"/>
  <c r="B65" i="7"/>
  <c r="G45" i="7"/>
  <c r="J24" i="7"/>
  <c r="A34" i="7"/>
  <c r="H53" i="7"/>
  <c r="B68" i="7"/>
  <c r="G53" i="7"/>
  <c r="B62" i="7"/>
  <c r="G42" i="7"/>
  <c r="H42" i="7"/>
  <c r="J26" i="7"/>
  <c r="A36" i="7"/>
  <c r="J26" i="6"/>
  <c r="A36" i="6"/>
  <c r="H45" i="6"/>
  <c r="B65" i="6"/>
  <c r="G45" i="6"/>
  <c r="H41" i="6"/>
  <c r="B61" i="6"/>
  <c r="G41" i="6"/>
  <c r="H44" i="6"/>
  <c r="B64" i="6"/>
  <c r="G44" i="6"/>
  <c r="H42" i="6"/>
  <c r="B62" i="6"/>
  <c r="G42" i="6"/>
  <c r="H51" i="6"/>
  <c r="B66" i="6"/>
  <c r="G51" i="6"/>
  <c r="J25" i="6"/>
  <c r="A35" i="6"/>
  <c r="H54" i="6"/>
  <c r="B69" i="6"/>
  <c r="G54" i="6"/>
  <c r="H53" i="6"/>
  <c r="B68" i="6"/>
  <c r="G53" i="6"/>
  <c r="B67" i="6"/>
  <c r="G52" i="6"/>
  <c r="H52" i="6"/>
  <c r="J23" i="6"/>
  <c r="A33" i="6"/>
  <c r="C30" i="6" s="1" a="1"/>
  <c r="B63" i="6"/>
  <c r="G43" i="6"/>
  <c r="H43" i="6"/>
  <c r="H55" i="6"/>
  <c r="B70" i="6"/>
  <c r="G55" i="6"/>
  <c r="J24" i="6"/>
  <c r="A34" i="6"/>
  <c r="H54" i="5"/>
  <c r="B69" i="5"/>
  <c r="G54" i="5"/>
  <c r="H41" i="5"/>
  <c r="B61" i="5"/>
  <c r="G41" i="5"/>
  <c r="H42" i="5"/>
  <c r="B62" i="5"/>
  <c r="G42" i="5"/>
  <c r="H51" i="5"/>
  <c r="B66" i="5"/>
  <c r="G51" i="5"/>
  <c r="H43" i="5"/>
  <c r="B63" i="5"/>
  <c r="G43" i="5"/>
  <c r="J26" i="5"/>
  <c r="A36" i="5"/>
  <c r="H55" i="5"/>
  <c r="B70" i="5"/>
  <c r="G55" i="5"/>
  <c r="H52" i="5"/>
  <c r="B67" i="5"/>
  <c r="G52" i="5"/>
  <c r="H53" i="5"/>
  <c r="B68" i="5"/>
  <c r="G53" i="5"/>
  <c r="H45" i="5"/>
  <c r="B65" i="5"/>
  <c r="G45" i="5"/>
  <c r="J23" i="5"/>
  <c r="A33" i="5"/>
  <c r="H44" i="5"/>
  <c r="B64" i="5"/>
  <c r="G44" i="5"/>
  <c r="J24" i="5"/>
  <c r="A34" i="5"/>
  <c r="J25" i="5"/>
  <c r="A35" i="5"/>
  <c r="A33" i="2"/>
  <c r="A32" i="2"/>
  <c r="J22" i="2"/>
  <c r="I27" i="2"/>
  <c r="J27" i="2" s="1"/>
  <c r="K51" i="21" l="1"/>
  <c r="C30" i="21" a="1"/>
  <c r="K55" i="31"/>
  <c r="K45" i="34"/>
  <c r="C30" i="39" a="1"/>
  <c r="K54" i="2"/>
  <c r="K45" i="6"/>
  <c r="K43" i="36"/>
  <c r="L43" i="36" s="1"/>
  <c r="K44" i="2"/>
  <c r="K51" i="2"/>
  <c r="L52" i="2"/>
  <c r="C67" i="2"/>
  <c r="K53" i="2"/>
  <c r="K55" i="20"/>
  <c r="K55" i="34"/>
  <c r="K53" i="38"/>
  <c r="L53" i="38" s="1"/>
  <c r="K42" i="38"/>
  <c r="K55" i="39"/>
  <c r="C30" i="9" a="1"/>
  <c r="C30" i="34" a="1"/>
  <c r="K43" i="39"/>
  <c r="K55" i="2"/>
  <c r="K41" i="2"/>
  <c r="K42" i="2"/>
  <c r="K43" i="2"/>
  <c r="K54" i="19"/>
  <c r="K45" i="2"/>
  <c r="K55" i="40"/>
  <c r="L55" i="40" s="1"/>
  <c r="C30" i="40" a="1"/>
  <c r="G31" i="40" s="1"/>
  <c r="K42" i="40"/>
  <c r="C62" i="40" s="1"/>
  <c r="K44" i="40"/>
  <c r="L44" i="40" s="1"/>
  <c r="K54" i="40"/>
  <c r="C69" i="40" s="1"/>
  <c r="K52" i="40"/>
  <c r="L52" i="40" s="1"/>
  <c r="K43" i="40"/>
  <c r="L43" i="40" s="1"/>
  <c r="C70" i="40"/>
  <c r="K51" i="40"/>
  <c r="L53" i="40"/>
  <c r="C68" i="40"/>
  <c r="L54" i="40"/>
  <c r="K45" i="40"/>
  <c r="K41" i="40"/>
  <c r="K52" i="39"/>
  <c r="K51" i="39"/>
  <c r="K44" i="39"/>
  <c r="C64" i="39" s="1"/>
  <c r="K42" i="39"/>
  <c r="C62" i="39" s="1"/>
  <c r="K45" i="39"/>
  <c r="C66" i="39"/>
  <c r="L51" i="39"/>
  <c r="L53" i="39"/>
  <c r="C68" i="39"/>
  <c r="L43" i="39"/>
  <c r="C63" i="39"/>
  <c r="L52" i="39"/>
  <c r="C67" i="39"/>
  <c r="K41" i="39"/>
  <c r="K54" i="39"/>
  <c r="C70" i="39"/>
  <c r="L55" i="39"/>
  <c r="G30" i="39"/>
  <c r="F30" i="39"/>
  <c r="E30" i="39"/>
  <c r="G31" i="39"/>
  <c r="D30" i="39"/>
  <c r="F31" i="39"/>
  <c r="C30" i="39"/>
  <c r="C31" i="39"/>
  <c r="E31" i="39"/>
  <c r="D31" i="39"/>
  <c r="L44" i="39"/>
  <c r="K52" i="38"/>
  <c r="L52" i="38" s="1"/>
  <c r="K43" i="38"/>
  <c r="L43" i="38" s="1"/>
  <c r="K44" i="38"/>
  <c r="C30" i="38" a="1"/>
  <c r="E30" i="38" s="1"/>
  <c r="G31" i="38"/>
  <c r="K51" i="38"/>
  <c r="C70" i="38"/>
  <c r="L55" i="38"/>
  <c r="K45" i="38"/>
  <c r="C62" i="38"/>
  <c r="L42" i="38"/>
  <c r="K41" i="38"/>
  <c r="L44" i="38"/>
  <c r="C64" i="38"/>
  <c r="K54" i="38"/>
  <c r="K54" i="36"/>
  <c r="K45" i="36"/>
  <c r="K41" i="36"/>
  <c r="K53" i="36"/>
  <c r="K44" i="36"/>
  <c r="C62" i="36"/>
  <c r="L42" i="36"/>
  <c r="C69" i="36"/>
  <c r="L54" i="36"/>
  <c r="C30" i="36" a="1"/>
  <c r="K55" i="36"/>
  <c r="K51" i="36"/>
  <c r="K52" i="36"/>
  <c r="C30" i="35" a="1"/>
  <c r="C30" i="35" s="1"/>
  <c r="K41" i="35"/>
  <c r="K52" i="35"/>
  <c r="L52" i="35" s="1"/>
  <c r="K55" i="35"/>
  <c r="L55" i="35" s="1"/>
  <c r="K51" i="35"/>
  <c r="C66" i="35" s="1"/>
  <c r="L44" i="35"/>
  <c r="C64" i="35"/>
  <c r="K54" i="35"/>
  <c r="L43" i="35"/>
  <c r="C63" i="35"/>
  <c r="L41" i="35"/>
  <c r="C61" i="35"/>
  <c r="C70" i="35"/>
  <c r="C62" i="35"/>
  <c r="L42" i="35"/>
  <c r="K53" i="35"/>
  <c r="K45" i="35"/>
  <c r="K51" i="34"/>
  <c r="L51" i="34" s="1"/>
  <c r="K42" i="34"/>
  <c r="K54" i="34"/>
  <c r="C69" i="34" s="1"/>
  <c r="K52" i="34"/>
  <c r="C67" i="34" s="1"/>
  <c r="L44" i="34"/>
  <c r="C64" i="34"/>
  <c r="G30" i="34"/>
  <c r="F30" i="34"/>
  <c r="E30" i="34"/>
  <c r="G31" i="34"/>
  <c r="D30" i="34"/>
  <c r="F31" i="34"/>
  <c r="C30" i="34"/>
  <c r="E31" i="34"/>
  <c r="D31" i="34"/>
  <c r="C31" i="34"/>
  <c r="C66" i="34"/>
  <c r="K53" i="34"/>
  <c r="C62" i="34"/>
  <c r="L42" i="34"/>
  <c r="C70" i="34"/>
  <c r="L55" i="34"/>
  <c r="C65" i="34"/>
  <c r="L45" i="34"/>
  <c r="K41" i="34"/>
  <c r="K43" i="34"/>
  <c r="K51" i="33"/>
  <c r="C66" i="33" s="1"/>
  <c r="K43" i="33"/>
  <c r="L43" i="33" s="1"/>
  <c r="K45" i="33"/>
  <c r="C65" i="33" s="1"/>
  <c r="K52" i="33"/>
  <c r="K41" i="33"/>
  <c r="L41" i="33" s="1"/>
  <c r="K54" i="33"/>
  <c r="K42" i="33"/>
  <c r="L52" i="33"/>
  <c r="C67" i="33"/>
  <c r="L53" i="33"/>
  <c r="C68" i="33"/>
  <c r="C61" i="33"/>
  <c r="C30" i="33" a="1"/>
  <c r="K44" i="33"/>
  <c r="K55" i="33"/>
  <c r="K44" i="32"/>
  <c r="C64" i="32" s="1"/>
  <c r="K45" i="32"/>
  <c r="K41" i="32"/>
  <c r="K43" i="32"/>
  <c r="L43" i="32" s="1"/>
  <c r="C30" i="32" a="1"/>
  <c r="D30" i="32" s="1"/>
  <c r="L44" i="32"/>
  <c r="G31" i="32"/>
  <c r="C66" i="32"/>
  <c r="L51" i="32"/>
  <c r="C62" i="32"/>
  <c r="L42" i="32"/>
  <c r="K55" i="32"/>
  <c r="C65" i="32"/>
  <c r="L45" i="32"/>
  <c r="L53" i="32"/>
  <c r="C68" i="32"/>
  <c r="C61" i="32"/>
  <c r="L41" i="32"/>
  <c r="K52" i="32"/>
  <c r="K54" i="32"/>
  <c r="K53" i="31"/>
  <c r="L53" i="31" s="1"/>
  <c r="K42" i="31"/>
  <c r="K41" i="31"/>
  <c r="C61" i="31" s="1"/>
  <c r="K44" i="31"/>
  <c r="C64" i="31" s="1"/>
  <c r="K54" i="31"/>
  <c r="L54" i="31" s="1"/>
  <c r="L41" i="31"/>
  <c r="G36" i="31"/>
  <c r="G35" i="31"/>
  <c r="G34" i="31"/>
  <c r="G32" i="31"/>
  <c r="G33" i="31"/>
  <c r="C32" i="31"/>
  <c r="C33" i="31"/>
  <c r="C34" i="31"/>
  <c r="C35" i="31"/>
  <c r="C36" i="31"/>
  <c r="L52" i="31"/>
  <c r="C67" i="31"/>
  <c r="K43" i="31"/>
  <c r="E34" i="31"/>
  <c r="E35" i="31"/>
  <c r="E36" i="31"/>
  <c r="E33" i="31"/>
  <c r="E32" i="31"/>
  <c r="C70" i="31"/>
  <c r="L55" i="31"/>
  <c r="L44" i="31"/>
  <c r="F35" i="31"/>
  <c r="F33" i="31"/>
  <c r="F36" i="31"/>
  <c r="F32" i="31"/>
  <c r="F34" i="31"/>
  <c r="C62" i="31"/>
  <c r="L42" i="31"/>
  <c r="K45" i="31"/>
  <c r="D33" i="31"/>
  <c r="D34" i="31"/>
  <c r="D35" i="31"/>
  <c r="D36" i="31"/>
  <c r="D32" i="31"/>
  <c r="K51" i="31"/>
  <c r="K43" i="30"/>
  <c r="L43" i="30" s="1"/>
  <c r="K41" i="30"/>
  <c r="C61" i="30" s="1"/>
  <c r="G30" i="30"/>
  <c r="F31" i="30"/>
  <c r="F30" i="30"/>
  <c r="E30" i="30"/>
  <c r="C30" i="30"/>
  <c r="G31" i="30"/>
  <c r="D30" i="30"/>
  <c r="E31" i="30"/>
  <c r="C31" i="30"/>
  <c r="D31" i="30"/>
  <c r="K51" i="30"/>
  <c r="C62" i="30"/>
  <c r="L42" i="30"/>
  <c r="L44" i="30"/>
  <c r="C64" i="30"/>
  <c r="L41" i="30"/>
  <c r="C69" i="30"/>
  <c r="L54" i="30"/>
  <c r="K52" i="30"/>
  <c r="K45" i="30"/>
  <c r="K53" i="30"/>
  <c r="K55" i="30"/>
  <c r="C30" i="5" a="1"/>
  <c r="D30" i="5" s="1"/>
  <c r="K43" i="7"/>
  <c r="K45" i="7"/>
  <c r="C65" i="7" s="1"/>
  <c r="K44" i="12"/>
  <c r="K43" i="12"/>
  <c r="L43" i="12" s="1"/>
  <c r="K53" i="14"/>
  <c r="K52" i="14"/>
  <c r="C67" i="14" s="1"/>
  <c r="K55" i="17"/>
  <c r="D31" i="17"/>
  <c r="C30" i="17"/>
  <c r="F31" i="17"/>
  <c r="F33" i="17" s="1"/>
  <c r="K45" i="19"/>
  <c r="E30" i="20"/>
  <c r="D30" i="20"/>
  <c r="D34" i="20" s="1"/>
  <c r="C31" i="20"/>
  <c r="F30" i="20"/>
  <c r="E31" i="20"/>
  <c r="E33" i="20" s="1"/>
  <c r="D31" i="20"/>
  <c r="G30" i="20"/>
  <c r="G32" i="20" s="1"/>
  <c r="C30" i="20"/>
  <c r="K43" i="20"/>
  <c r="F31" i="20"/>
  <c r="F36" i="20" s="1"/>
  <c r="K53" i="20"/>
  <c r="K45" i="21"/>
  <c r="C65" i="21" s="1"/>
  <c r="K42" i="21"/>
  <c r="L42" i="21" s="1"/>
  <c r="K53" i="21"/>
  <c r="C68" i="21" s="1"/>
  <c r="K51" i="20"/>
  <c r="L51" i="20" s="1"/>
  <c r="K54" i="9"/>
  <c r="K55" i="6"/>
  <c r="L55" i="6" s="1"/>
  <c r="K44" i="21"/>
  <c r="L44" i="21" s="1"/>
  <c r="K54" i="21"/>
  <c r="C69" i="21" s="1"/>
  <c r="G30" i="21"/>
  <c r="D31" i="21"/>
  <c r="F30" i="21"/>
  <c r="E30" i="21"/>
  <c r="G31" i="21"/>
  <c r="D30" i="21"/>
  <c r="F31" i="21"/>
  <c r="C30" i="21"/>
  <c r="E31" i="21"/>
  <c r="C31" i="21"/>
  <c r="K55" i="21"/>
  <c r="L53" i="21"/>
  <c r="C62" i="21"/>
  <c r="L54" i="21"/>
  <c r="C66" i="21"/>
  <c r="L51" i="21"/>
  <c r="K43" i="21"/>
  <c r="K52" i="21"/>
  <c r="K41" i="21"/>
  <c r="K45" i="20"/>
  <c r="L45" i="20" s="1"/>
  <c r="K54" i="20"/>
  <c r="L54" i="20" s="1"/>
  <c r="L43" i="20"/>
  <c r="C63" i="20"/>
  <c r="K52" i="20"/>
  <c r="C61" i="20"/>
  <c r="L41" i="20"/>
  <c r="L53" i="20"/>
  <c r="C68" i="20"/>
  <c r="C70" i="20"/>
  <c r="L55" i="20"/>
  <c r="K44" i="20"/>
  <c r="C32" i="20"/>
  <c r="C33" i="20"/>
  <c r="C34" i="20"/>
  <c r="C35" i="20"/>
  <c r="C36" i="20"/>
  <c r="D35" i="20"/>
  <c r="K42" i="20"/>
  <c r="E32" i="20"/>
  <c r="K41" i="19"/>
  <c r="C61" i="19" s="1"/>
  <c r="K44" i="19"/>
  <c r="L44" i="19" s="1"/>
  <c r="K55" i="19"/>
  <c r="L55" i="19" s="1"/>
  <c r="C69" i="19"/>
  <c r="L54" i="19"/>
  <c r="C30" i="19" a="1"/>
  <c r="K42" i="19"/>
  <c r="K52" i="19"/>
  <c r="L45" i="19"/>
  <c r="C65" i="19"/>
  <c r="K43" i="19"/>
  <c r="K51" i="19"/>
  <c r="K53" i="19"/>
  <c r="K51" i="17"/>
  <c r="L51" i="17" s="1"/>
  <c r="K42" i="17"/>
  <c r="C62" i="17" s="1"/>
  <c r="K43" i="17"/>
  <c r="C63" i="17" s="1"/>
  <c r="E31" i="17"/>
  <c r="E36" i="17" s="1"/>
  <c r="D30" i="17"/>
  <c r="D35" i="17" s="1"/>
  <c r="G31" i="17"/>
  <c r="G36" i="17" s="1"/>
  <c r="F30" i="17"/>
  <c r="E30" i="17"/>
  <c r="K45" i="17"/>
  <c r="C65" i="17" s="1"/>
  <c r="C31" i="17"/>
  <c r="C32" i="17" s="1"/>
  <c r="C33" i="17"/>
  <c r="K52" i="17"/>
  <c r="K41" i="17"/>
  <c r="D34" i="17"/>
  <c r="D32" i="17"/>
  <c r="L43" i="17"/>
  <c r="E34" i="17"/>
  <c r="E33" i="17"/>
  <c r="K44" i="17"/>
  <c r="C66" i="17"/>
  <c r="C70" i="17"/>
  <c r="L55" i="17"/>
  <c r="K53" i="17"/>
  <c r="K54" i="17"/>
  <c r="C30" i="16" a="1"/>
  <c r="D30" i="16" s="1"/>
  <c r="K45" i="16"/>
  <c r="C65" i="16" s="1"/>
  <c r="K42" i="16"/>
  <c r="C62" i="16" s="1"/>
  <c r="K53" i="16"/>
  <c r="C68" i="16" s="1"/>
  <c r="K41" i="16"/>
  <c r="C61" i="16" s="1"/>
  <c r="K55" i="16"/>
  <c r="K52" i="16"/>
  <c r="K54" i="16"/>
  <c r="K51" i="16"/>
  <c r="K44" i="16"/>
  <c r="K43" i="16"/>
  <c r="K44" i="14"/>
  <c r="K51" i="14"/>
  <c r="K41" i="14"/>
  <c r="K45" i="14"/>
  <c r="L52" i="14"/>
  <c r="C30" i="14" a="1"/>
  <c r="K55" i="14"/>
  <c r="K54" i="14"/>
  <c r="L53" i="14"/>
  <c r="C68" i="14"/>
  <c r="K42" i="14"/>
  <c r="K43" i="14"/>
  <c r="K54" i="12"/>
  <c r="C69" i="12" s="1"/>
  <c r="K45" i="12"/>
  <c r="L45" i="12" s="1"/>
  <c r="K52" i="12"/>
  <c r="C67" i="12" s="1"/>
  <c r="K53" i="12"/>
  <c r="C68" i="12" s="1"/>
  <c r="K42" i="12"/>
  <c r="L44" i="12"/>
  <c r="C64" i="12"/>
  <c r="C30" i="12" a="1"/>
  <c r="K41" i="12"/>
  <c r="K55" i="12"/>
  <c r="K51" i="12"/>
  <c r="C30" i="11" a="1"/>
  <c r="L51" i="11"/>
  <c r="C66" i="11"/>
  <c r="C61" i="11"/>
  <c r="L41" i="11"/>
  <c r="C64" i="11"/>
  <c r="L44" i="11"/>
  <c r="L55" i="11"/>
  <c r="C70" i="11"/>
  <c r="L43" i="11"/>
  <c r="C63" i="11"/>
  <c r="L52" i="11"/>
  <c r="C67" i="11"/>
  <c r="C69" i="11"/>
  <c r="L54" i="11"/>
  <c r="C65" i="11"/>
  <c r="L45" i="11"/>
  <c r="C68" i="11"/>
  <c r="L53" i="11"/>
  <c r="L42" i="11"/>
  <c r="C62" i="11"/>
  <c r="K51" i="9"/>
  <c r="C66" i="9" s="1"/>
  <c r="K44" i="9"/>
  <c r="C64" i="9" s="1"/>
  <c r="K42" i="9"/>
  <c r="C62" i="9" s="1"/>
  <c r="K52" i="9"/>
  <c r="C67" i="9" s="1"/>
  <c r="K43" i="9"/>
  <c r="C63" i="9" s="1"/>
  <c r="K55" i="9"/>
  <c r="C70" i="9" s="1"/>
  <c r="K45" i="9"/>
  <c r="L45" i="9" s="1"/>
  <c r="K41" i="9"/>
  <c r="C69" i="9"/>
  <c r="L54" i="9"/>
  <c r="K53" i="9"/>
  <c r="G30" i="9"/>
  <c r="F30" i="9"/>
  <c r="E30" i="9"/>
  <c r="G31" i="9"/>
  <c r="D30" i="9"/>
  <c r="C31" i="9"/>
  <c r="F31" i="9"/>
  <c r="C30" i="9"/>
  <c r="E31" i="9"/>
  <c r="D31" i="9"/>
  <c r="K51" i="7"/>
  <c r="C66" i="7" s="1"/>
  <c r="K41" i="7"/>
  <c r="L41" i="7" s="1"/>
  <c r="C30" i="7" a="1"/>
  <c r="F30" i="7" s="1"/>
  <c r="K52" i="7"/>
  <c r="C61" i="7"/>
  <c r="K42" i="7"/>
  <c r="K54" i="7"/>
  <c r="L43" i="7"/>
  <c r="C63" i="7"/>
  <c r="K53" i="7"/>
  <c r="K44" i="7"/>
  <c r="K55" i="7"/>
  <c r="K41" i="6"/>
  <c r="L41" i="6" s="1"/>
  <c r="K43" i="6"/>
  <c r="L43" i="6" s="1"/>
  <c r="K44" i="6"/>
  <c r="L44" i="6" s="1"/>
  <c r="F30" i="6"/>
  <c r="E30" i="6"/>
  <c r="G31" i="6"/>
  <c r="D30" i="6"/>
  <c r="F31" i="6"/>
  <c r="C30" i="6"/>
  <c r="C31" i="6"/>
  <c r="E31" i="6"/>
  <c r="D31" i="6"/>
  <c r="G30" i="6"/>
  <c r="K54" i="6"/>
  <c r="K42" i="6"/>
  <c r="K52" i="6"/>
  <c r="C65" i="6"/>
  <c r="L45" i="6"/>
  <c r="C70" i="6"/>
  <c r="K53" i="6"/>
  <c r="K51" i="6"/>
  <c r="K52" i="5"/>
  <c r="C67" i="5" s="1"/>
  <c r="K55" i="5"/>
  <c r="L55" i="5" s="1"/>
  <c r="K51" i="5"/>
  <c r="C66" i="5" s="1"/>
  <c r="K43" i="5"/>
  <c r="L43" i="5" s="1"/>
  <c r="K54" i="5"/>
  <c r="C69" i="5" s="1"/>
  <c r="F31" i="5"/>
  <c r="G31" i="5"/>
  <c r="C31" i="5"/>
  <c r="K41" i="5"/>
  <c r="K45" i="5"/>
  <c r="K44" i="5"/>
  <c r="K53" i="5"/>
  <c r="K42" i="5"/>
  <c r="G32" i="17" l="1"/>
  <c r="G35" i="17"/>
  <c r="F35" i="17"/>
  <c r="G36" i="20"/>
  <c r="L42" i="2"/>
  <c r="C62" i="2"/>
  <c r="G33" i="17"/>
  <c r="D36" i="17"/>
  <c r="C66" i="20"/>
  <c r="L45" i="21"/>
  <c r="C63" i="32"/>
  <c r="E30" i="32"/>
  <c r="L45" i="33"/>
  <c r="L51" i="33"/>
  <c r="L54" i="34"/>
  <c r="C67" i="38"/>
  <c r="F30" i="38"/>
  <c r="L41" i="2"/>
  <c r="C61" i="2"/>
  <c r="G34" i="17"/>
  <c r="F36" i="17"/>
  <c r="G30" i="38"/>
  <c r="G34" i="38" s="1"/>
  <c r="L55" i="2"/>
  <c r="C70" i="2"/>
  <c r="L54" i="2"/>
  <c r="C69" i="2"/>
  <c r="C68" i="38"/>
  <c r="L53" i="2"/>
  <c r="C68" i="2"/>
  <c r="G34" i="20"/>
  <c r="F34" i="20"/>
  <c r="C68" i="31"/>
  <c r="C67" i="35"/>
  <c r="G35" i="20"/>
  <c r="C63" i="36"/>
  <c r="L42" i="39"/>
  <c r="E30" i="40"/>
  <c r="L45" i="2"/>
  <c r="C65" i="2"/>
  <c r="L55" i="9"/>
  <c r="L53" i="12"/>
  <c r="F34" i="17"/>
  <c r="G33" i="20"/>
  <c r="E31" i="38"/>
  <c r="L51" i="2"/>
  <c r="C66" i="2"/>
  <c r="C65" i="12"/>
  <c r="D31" i="32"/>
  <c r="C30" i="38"/>
  <c r="L43" i="2"/>
  <c r="C63" i="2"/>
  <c r="L44" i="2"/>
  <c r="C64" i="2"/>
  <c r="C64" i="40"/>
  <c r="C31" i="40"/>
  <c r="C33" i="40" s="1"/>
  <c r="F30" i="40"/>
  <c r="G30" i="40"/>
  <c r="G32" i="40" s="1"/>
  <c r="E31" i="40"/>
  <c r="E32" i="40" s="1"/>
  <c r="C30" i="40"/>
  <c r="C34" i="40" s="1"/>
  <c r="D31" i="40"/>
  <c r="C67" i="40"/>
  <c r="F31" i="40"/>
  <c r="F35" i="40" s="1"/>
  <c r="D30" i="40"/>
  <c r="D32" i="40" s="1"/>
  <c r="C63" i="40"/>
  <c r="L42" i="40"/>
  <c r="E34" i="40"/>
  <c r="E35" i="40"/>
  <c r="E33" i="40"/>
  <c r="C66" i="40"/>
  <c r="L51" i="40"/>
  <c r="G36" i="40"/>
  <c r="G33" i="40"/>
  <c r="G34" i="40"/>
  <c r="C65" i="40"/>
  <c r="L45" i="40"/>
  <c r="C36" i="40"/>
  <c r="C61" i="40"/>
  <c r="L41" i="40"/>
  <c r="D33" i="40"/>
  <c r="D34" i="40"/>
  <c r="E34" i="39"/>
  <c r="E35" i="39"/>
  <c r="E33" i="39"/>
  <c r="E36" i="39"/>
  <c r="E32" i="39"/>
  <c r="C32" i="39"/>
  <c r="C33" i="39"/>
  <c r="C34" i="39"/>
  <c r="C35" i="39"/>
  <c r="C36" i="39"/>
  <c r="C61" i="39"/>
  <c r="L41" i="39"/>
  <c r="F35" i="39"/>
  <c r="F36" i="39"/>
  <c r="F32" i="39"/>
  <c r="F33" i="39"/>
  <c r="F34" i="39"/>
  <c r="G36" i="39"/>
  <c r="G35" i="39"/>
  <c r="G32" i="39"/>
  <c r="G33" i="39"/>
  <c r="G34" i="39"/>
  <c r="C69" i="39"/>
  <c r="L54" i="39"/>
  <c r="D33" i="39"/>
  <c r="D34" i="39"/>
  <c r="D35" i="39"/>
  <c r="D36" i="39"/>
  <c r="D32" i="39"/>
  <c r="C65" i="39"/>
  <c r="L45" i="39"/>
  <c r="C31" i="38"/>
  <c r="C34" i="38" s="1"/>
  <c r="F31" i="38"/>
  <c r="F33" i="38" s="1"/>
  <c r="C63" i="38"/>
  <c r="D30" i="38"/>
  <c r="D31" i="38"/>
  <c r="D33" i="38" s="1"/>
  <c r="G36" i="38"/>
  <c r="D35" i="38"/>
  <c r="D32" i="38"/>
  <c r="C32" i="38"/>
  <c r="C33" i="38"/>
  <c r="C36" i="38"/>
  <c r="E34" i="38"/>
  <c r="E35" i="38"/>
  <c r="E36" i="38"/>
  <c r="E32" i="38"/>
  <c r="E33" i="38"/>
  <c r="C66" i="38"/>
  <c r="L51" i="38"/>
  <c r="C69" i="38"/>
  <c r="L54" i="38"/>
  <c r="C65" i="38"/>
  <c r="L45" i="38"/>
  <c r="F34" i="38"/>
  <c r="F36" i="38"/>
  <c r="C61" i="38"/>
  <c r="L41" i="38"/>
  <c r="C66" i="36"/>
  <c r="L51" i="36"/>
  <c r="L52" i="36"/>
  <c r="C67" i="36"/>
  <c r="G30" i="36"/>
  <c r="C31" i="36"/>
  <c r="F30" i="36"/>
  <c r="E30" i="36"/>
  <c r="E31" i="36"/>
  <c r="G31" i="36"/>
  <c r="D30" i="36"/>
  <c r="F31" i="36"/>
  <c r="C30" i="36"/>
  <c r="D31" i="36"/>
  <c r="L53" i="36"/>
  <c r="C68" i="36"/>
  <c r="L44" i="36"/>
  <c r="C64" i="36"/>
  <c r="C61" i="36"/>
  <c r="L41" i="36"/>
  <c r="C70" i="36"/>
  <c r="L55" i="36"/>
  <c r="C65" i="36"/>
  <c r="L45" i="36"/>
  <c r="L51" i="35"/>
  <c r="D30" i="35"/>
  <c r="E30" i="35"/>
  <c r="E33" i="35" s="1"/>
  <c r="F31" i="35"/>
  <c r="F35" i="35" s="1"/>
  <c r="G31" i="35"/>
  <c r="F30" i="35"/>
  <c r="D31" i="35"/>
  <c r="D35" i="35" s="1"/>
  <c r="G30" i="35"/>
  <c r="G34" i="35" s="1"/>
  <c r="C31" i="35"/>
  <c r="C32" i="35" s="1"/>
  <c r="E31" i="35"/>
  <c r="E36" i="35" s="1"/>
  <c r="D33" i="35"/>
  <c r="D34" i="35"/>
  <c r="F36" i="35"/>
  <c r="F33" i="35"/>
  <c r="L45" i="35"/>
  <c r="C65" i="35"/>
  <c r="L54" i="35"/>
  <c r="C69" i="35"/>
  <c r="L53" i="35"/>
  <c r="C68" i="35"/>
  <c r="G36" i="35"/>
  <c r="E35" i="35"/>
  <c r="L52" i="34"/>
  <c r="C61" i="34"/>
  <c r="L41" i="34"/>
  <c r="F35" i="34"/>
  <c r="F36" i="34"/>
  <c r="F33" i="34"/>
  <c r="F32" i="34"/>
  <c r="F34" i="34"/>
  <c r="G36" i="34"/>
  <c r="G32" i="34"/>
  <c r="G33" i="34"/>
  <c r="G35" i="34"/>
  <c r="G34" i="34"/>
  <c r="C32" i="34"/>
  <c r="C33" i="34"/>
  <c r="C34" i="34"/>
  <c r="C35" i="34"/>
  <c r="C36" i="34"/>
  <c r="L43" i="34"/>
  <c r="C63" i="34"/>
  <c r="D33" i="34"/>
  <c r="D34" i="34"/>
  <c r="D35" i="34"/>
  <c r="D36" i="34"/>
  <c r="D32" i="34"/>
  <c r="E34" i="34"/>
  <c r="E35" i="34"/>
  <c r="E36" i="34"/>
  <c r="E32" i="34"/>
  <c r="E33" i="34"/>
  <c r="L53" i="34"/>
  <c r="C68" i="34"/>
  <c r="C63" i="33"/>
  <c r="C69" i="33"/>
  <c r="L54" i="33"/>
  <c r="L44" i="33"/>
  <c r="C64" i="33"/>
  <c r="G30" i="33"/>
  <c r="F30" i="33"/>
  <c r="E30" i="33"/>
  <c r="G31" i="33"/>
  <c r="D30" i="33"/>
  <c r="F31" i="33"/>
  <c r="C30" i="33"/>
  <c r="C31" i="33"/>
  <c r="E31" i="33"/>
  <c r="D31" i="33"/>
  <c r="C70" i="33"/>
  <c r="L55" i="33"/>
  <c r="C62" i="33"/>
  <c r="L42" i="33"/>
  <c r="C31" i="32"/>
  <c r="C32" i="32" s="1"/>
  <c r="F30" i="32"/>
  <c r="F36" i="32" s="1"/>
  <c r="E31" i="32"/>
  <c r="E36" i="32" s="1"/>
  <c r="G30" i="32"/>
  <c r="G33" i="32" s="1"/>
  <c r="C30" i="32"/>
  <c r="C35" i="32" s="1"/>
  <c r="F31" i="32"/>
  <c r="F34" i="32" s="1"/>
  <c r="L52" i="32"/>
  <c r="C67" i="32"/>
  <c r="D33" i="32"/>
  <c r="D34" i="32"/>
  <c r="D35" i="32"/>
  <c r="D36" i="32"/>
  <c r="D32" i="32"/>
  <c r="G34" i="32"/>
  <c r="G32" i="32"/>
  <c r="C33" i="32"/>
  <c r="C34" i="32"/>
  <c r="C36" i="32"/>
  <c r="C69" i="32"/>
  <c r="L54" i="32"/>
  <c r="E34" i="32"/>
  <c r="E35" i="32"/>
  <c r="E33" i="32"/>
  <c r="C70" i="32"/>
  <c r="L55" i="32"/>
  <c r="F32" i="32"/>
  <c r="C69" i="31"/>
  <c r="C66" i="31"/>
  <c r="L51" i="31"/>
  <c r="L45" i="31"/>
  <c r="C65" i="31"/>
  <c r="L43" i="31"/>
  <c r="C63" i="31"/>
  <c r="C63" i="30"/>
  <c r="E34" i="30"/>
  <c r="E35" i="30"/>
  <c r="E36" i="30"/>
  <c r="E32" i="30"/>
  <c r="E33" i="30"/>
  <c r="C65" i="30"/>
  <c r="L45" i="30"/>
  <c r="L52" i="30"/>
  <c r="C67" i="30"/>
  <c r="G36" i="30"/>
  <c r="G32" i="30"/>
  <c r="G33" i="30"/>
  <c r="G35" i="30"/>
  <c r="G34" i="30"/>
  <c r="C66" i="30"/>
  <c r="L51" i="30"/>
  <c r="L53" i="30"/>
  <c r="C68" i="30"/>
  <c r="D33" i="30"/>
  <c r="D34" i="30"/>
  <c r="D35" i="30"/>
  <c r="D36" i="30"/>
  <c r="D32" i="30"/>
  <c r="F35" i="30"/>
  <c r="F36" i="30"/>
  <c r="F32" i="30"/>
  <c r="F34" i="30"/>
  <c r="F33" i="30"/>
  <c r="C70" i="30"/>
  <c r="L55" i="30"/>
  <c r="C32" i="30"/>
  <c r="C36" i="30"/>
  <c r="C33" i="30"/>
  <c r="C34" i="30"/>
  <c r="C35" i="30"/>
  <c r="E30" i="5"/>
  <c r="E35" i="5" s="1"/>
  <c r="C30" i="5"/>
  <c r="F30" i="5"/>
  <c r="G30" i="5"/>
  <c r="G36" i="5" s="1"/>
  <c r="E31" i="5"/>
  <c r="D31" i="5"/>
  <c r="L45" i="7"/>
  <c r="L52" i="9"/>
  <c r="C63" i="12"/>
  <c r="E35" i="17"/>
  <c r="F32" i="17"/>
  <c r="E32" i="17"/>
  <c r="D33" i="17"/>
  <c r="C35" i="17"/>
  <c r="E36" i="20"/>
  <c r="D33" i="20"/>
  <c r="F35" i="20"/>
  <c r="E35" i="20"/>
  <c r="C65" i="20"/>
  <c r="E34" i="20"/>
  <c r="D32" i="20"/>
  <c r="F33" i="20"/>
  <c r="C69" i="20"/>
  <c r="D36" i="20"/>
  <c r="F32" i="20"/>
  <c r="C70" i="19"/>
  <c r="C64" i="19"/>
  <c r="L42" i="17"/>
  <c r="L45" i="16"/>
  <c r="L42" i="16"/>
  <c r="L52" i="12"/>
  <c r="L44" i="9"/>
  <c r="L51" i="7"/>
  <c r="C64" i="6"/>
  <c r="C64" i="21"/>
  <c r="L52" i="21"/>
  <c r="C67" i="21"/>
  <c r="E34" i="21"/>
  <c r="E35" i="21"/>
  <c r="E32" i="21"/>
  <c r="E36" i="21"/>
  <c r="E33" i="21"/>
  <c r="L43" i="21"/>
  <c r="C63" i="21"/>
  <c r="F35" i="21"/>
  <c r="F36" i="21"/>
  <c r="F33" i="21"/>
  <c r="F32" i="21"/>
  <c r="F34" i="21"/>
  <c r="C70" i="21"/>
  <c r="L55" i="21"/>
  <c r="G36" i="21"/>
  <c r="G32" i="21"/>
  <c r="G33" i="21"/>
  <c r="G34" i="21"/>
  <c r="G35" i="21"/>
  <c r="C61" i="21"/>
  <c r="L41" i="21"/>
  <c r="C32" i="21"/>
  <c r="C33" i="21"/>
  <c r="C34" i="21"/>
  <c r="C35" i="21"/>
  <c r="C36" i="21"/>
  <c r="D33" i="21"/>
  <c r="D34" i="21"/>
  <c r="D35" i="21"/>
  <c r="D36" i="21"/>
  <c r="D32" i="21"/>
  <c r="L44" i="20"/>
  <c r="C64" i="20"/>
  <c r="C62" i="20"/>
  <c r="L42" i="20"/>
  <c r="L52" i="20"/>
  <c r="C67" i="20"/>
  <c r="L41" i="19"/>
  <c r="L53" i="19"/>
  <c r="C68" i="19"/>
  <c r="G30" i="19"/>
  <c r="F30" i="19"/>
  <c r="E30" i="19"/>
  <c r="G31" i="19"/>
  <c r="D30" i="19"/>
  <c r="C31" i="19"/>
  <c r="F31" i="19"/>
  <c r="C30" i="19"/>
  <c r="D31" i="19"/>
  <c r="E31" i="19"/>
  <c r="L43" i="19"/>
  <c r="C63" i="19"/>
  <c r="C62" i="19"/>
  <c r="L42" i="19"/>
  <c r="C66" i="19"/>
  <c r="L51" i="19"/>
  <c r="L52" i="19"/>
  <c r="C67" i="19"/>
  <c r="C36" i="17"/>
  <c r="C34" i="17"/>
  <c r="L45" i="17"/>
  <c r="C61" i="17"/>
  <c r="L41" i="17"/>
  <c r="C69" i="17"/>
  <c r="L54" i="17"/>
  <c r="L53" i="17"/>
  <c r="C68" i="17"/>
  <c r="L52" i="17"/>
  <c r="C67" i="17"/>
  <c r="L44" i="17"/>
  <c r="C64" i="17"/>
  <c r="L53" i="16"/>
  <c r="L41" i="16"/>
  <c r="E30" i="16"/>
  <c r="D31" i="16"/>
  <c r="D35" i="16" s="1"/>
  <c r="F30" i="16"/>
  <c r="G31" i="16"/>
  <c r="G32" i="16" s="1"/>
  <c r="C31" i="16"/>
  <c r="C32" i="16" s="1"/>
  <c r="G30" i="16"/>
  <c r="G33" i="16" s="1"/>
  <c r="E31" i="16"/>
  <c r="C30" i="16"/>
  <c r="F31" i="16"/>
  <c r="C69" i="16"/>
  <c r="L54" i="16"/>
  <c r="C70" i="16"/>
  <c r="L55" i="16"/>
  <c r="L44" i="16"/>
  <c r="C64" i="16"/>
  <c r="L52" i="16"/>
  <c r="C67" i="16"/>
  <c r="L43" i="16"/>
  <c r="C63" i="16"/>
  <c r="C66" i="16"/>
  <c r="L51" i="16"/>
  <c r="D33" i="16"/>
  <c r="D36" i="16"/>
  <c r="D32" i="16"/>
  <c r="G30" i="14"/>
  <c r="F30" i="14"/>
  <c r="D31" i="14"/>
  <c r="E30" i="14"/>
  <c r="G31" i="14"/>
  <c r="D30" i="14"/>
  <c r="C31" i="14"/>
  <c r="F31" i="14"/>
  <c r="C30" i="14"/>
  <c r="E31" i="14"/>
  <c r="C70" i="14"/>
  <c r="L55" i="14"/>
  <c r="C62" i="14"/>
  <c r="L42" i="14"/>
  <c r="L41" i="14"/>
  <c r="C61" i="14"/>
  <c r="L43" i="14"/>
  <c r="C63" i="14"/>
  <c r="C65" i="14"/>
  <c r="L45" i="14"/>
  <c r="C66" i="14"/>
  <c r="L51" i="14"/>
  <c r="C69" i="14"/>
  <c r="L54" i="14"/>
  <c r="L44" i="14"/>
  <c r="C64" i="14"/>
  <c r="L54" i="12"/>
  <c r="C61" i="12"/>
  <c r="L41" i="12"/>
  <c r="C70" i="12"/>
  <c r="L55" i="12"/>
  <c r="C62" i="12"/>
  <c r="L42" i="12"/>
  <c r="G30" i="12"/>
  <c r="F30" i="12"/>
  <c r="D30" i="12"/>
  <c r="E30" i="12"/>
  <c r="F31" i="12"/>
  <c r="C30" i="12"/>
  <c r="E31" i="12"/>
  <c r="G31" i="12"/>
  <c r="D31" i="12"/>
  <c r="C31" i="12"/>
  <c r="C66" i="12"/>
  <c r="L51" i="12"/>
  <c r="C30" i="11"/>
  <c r="E31" i="11"/>
  <c r="E30" i="11"/>
  <c r="C31" i="11"/>
  <c r="F30" i="11"/>
  <c r="D31" i="11"/>
  <c r="G30" i="11"/>
  <c r="G31" i="11"/>
  <c r="D30" i="11"/>
  <c r="F31" i="11"/>
  <c r="L42" i="9"/>
  <c r="L51" i="9"/>
  <c r="C65" i="9"/>
  <c r="L43" i="9"/>
  <c r="D33" i="9"/>
  <c r="D32" i="9"/>
  <c r="D34" i="9"/>
  <c r="D35" i="9"/>
  <c r="D36" i="9"/>
  <c r="L53" i="9"/>
  <c r="C68" i="9"/>
  <c r="E34" i="9"/>
  <c r="E35" i="9"/>
  <c r="E33" i="9"/>
  <c r="E36" i="9"/>
  <c r="E32" i="9"/>
  <c r="F35" i="9"/>
  <c r="F36" i="9"/>
  <c r="F32" i="9"/>
  <c r="F33" i="9"/>
  <c r="F34" i="9"/>
  <c r="C32" i="9"/>
  <c r="C33" i="9"/>
  <c r="C34" i="9"/>
  <c r="C35" i="9"/>
  <c r="C36" i="9"/>
  <c r="C61" i="9"/>
  <c r="L41" i="9"/>
  <c r="G36" i="9"/>
  <c r="G35" i="9"/>
  <c r="G32" i="9"/>
  <c r="G33" i="9"/>
  <c r="G34" i="9"/>
  <c r="C63" i="6"/>
  <c r="E31" i="7"/>
  <c r="C30" i="7"/>
  <c r="F31" i="7"/>
  <c r="F33" i="7" s="1"/>
  <c r="G30" i="7"/>
  <c r="G31" i="7"/>
  <c r="D30" i="7"/>
  <c r="D32" i="7" s="1"/>
  <c r="C31" i="7"/>
  <c r="E30" i="7"/>
  <c r="D31" i="7"/>
  <c r="D36" i="7"/>
  <c r="C70" i="7"/>
  <c r="L55" i="7"/>
  <c r="L42" i="7"/>
  <c r="C62" i="7"/>
  <c r="L53" i="7"/>
  <c r="C68" i="7"/>
  <c r="E36" i="7"/>
  <c r="E34" i="7"/>
  <c r="C69" i="7"/>
  <c r="L54" i="7"/>
  <c r="L52" i="7"/>
  <c r="C67" i="7"/>
  <c r="G36" i="7"/>
  <c r="C64" i="7"/>
  <c r="L44" i="7"/>
  <c r="F34" i="7"/>
  <c r="F35" i="7"/>
  <c r="C61" i="6"/>
  <c r="L53" i="6"/>
  <c r="C68" i="6"/>
  <c r="C69" i="6"/>
  <c r="L54" i="6"/>
  <c r="F35" i="6"/>
  <c r="F36" i="6"/>
  <c r="F32" i="6"/>
  <c r="F33" i="6"/>
  <c r="F34" i="6"/>
  <c r="C62" i="6"/>
  <c r="L42" i="6"/>
  <c r="D34" i="6"/>
  <c r="D35" i="6"/>
  <c r="D32" i="6"/>
  <c r="D36" i="6"/>
  <c r="D33" i="6"/>
  <c r="G32" i="6"/>
  <c r="G35" i="6"/>
  <c r="G36" i="6"/>
  <c r="G33" i="6"/>
  <c r="G34" i="6"/>
  <c r="E35" i="6"/>
  <c r="E36" i="6"/>
  <c r="E34" i="6"/>
  <c r="E32" i="6"/>
  <c r="E33" i="6"/>
  <c r="C66" i="6"/>
  <c r="L51" i="6"/>
  <c r="L52" i="6"/>
  <c r="C67" i="6"/>
  <c r="C33" i="6"/>
  <c r="C34" i="6"/>
  <c r="C36" i="6"/>
  <c r="C32" i="6"/>
  <c r="C35" i="6"/>
  <c r="L52" i="5"/>
  <c r="L51" i="5"/>
  <c r="C70" i="5"/>
  <c r="C63" i="5"/>
  <c r="L54" i="5"/>
  <c r="L44" i="5"/>
  <c r="C64" i="5"/>
  <c r="L53" i="5"/>
  <c r="C68" i="5"/>
  <c r="C61" i="5"/>
  <c r="L41" i="5"/>
  <c r="C62" i="5"/>
  <c r="L42" i="5"/>
  <c r="E34" i="5"/>
  <c r="C65" i="5"/>
  <c r="L45" i="5"/>
  <c r="C32" i="5"/>
  <c r="C33" i="5"/>
  <c r="C34" i="5"/>
  <c r="C35" i="5"/>
  <c r="C36" i="5"/>
  <c r="F35" i="5"/>
  <c r="F36" i="5"/>
  <c r="F32" i="5"/>
  <c r="F33" i="5"/>
  <c r="F34" i="5"/>
  <c r="D33" i="5"/>
  <c r="D34" i="5"/>
  <c r="D35" i="5"/>
  <c r="D36" i="5"/>
  <c r="D32" i="5"/>
  <c r="A35" i="2"/>
  <c r="A36" i="2"/>
  <c r="J26" i="2"/>
  <c r="J25" i="2"/>
  <c r="J24" i="2"/>
  <c r="A34" i="2"/>
  <c r="C30" i="2" s="1" a="1"/>
  <c r="D31" i="2" s="1"/>
  <c r="D34" i="16" l="1"/>
  <c r="F36" i="16"/>
  <c r="D32" i="35"/>
  <c r="G32" i="35"/>
  <c r="F32" i="38"/>
  <c r="C35" i="38"/>
  <c r="G32" i="38"/>
  <c r="D35" i="40"/>
  <c r="C32" i="40"/>
  <c r="G36" i="16"/>
  <c r="E32" i="35"/>
  <c r="G35" i="38"/>
  <c r="E32" i="32"/>
  <c r="E34" i="35"/>
  <c r="F35" i="38"/>
  <c r="E36" i="40"/>
  <c r="G33" i="5"/>
  <c r="E32" i="7"/>
  <c r="E34" i="16"/>
  <c r="F34" i="35"/>
  <c r="D36" i="38"/>
  <c r="G35" i="40"/>
  <c r="D36" i="40"/>
  <c r="G34" i="16"/>
  <c r="F35" i="32"/>
  <c r="G33" i="38"/>
  <c r="C35" i="40"/>
  <c r="G35" i="16"/>
  <c r="F33" i="32"/>
  <c r="F32" i="35"/>
  <c r="F34" i="40"/>
  <c r="F32" i="40"/>
  <c r="F33" i="40"/>
  <c r="F36" i="40"/>
  <c r="D34" i="38"/>
  <c r="D33" i="36"/>
  <c r="D34" i="36"/>
  <c r="D35" i="36"/>
  <c r="D32" i="36"/>
  <c r="D36" i="36"/>
  <c r="C32" i="36"/>
  <c r="C34" i="36"/>
  <c r="C33" i="36"/>
  <c r="C35" i="36"/>
  <c r="C36" i="36"/>
  <c r="G36" i="36"/>
  <c r="G34" i="36"/>
  <c r="G32" i="36"/>
  <c r="G33" i="36"/>
  <c r="G35" i="36"/>
  <c r="F35" i="36"/>
  <c r="F32" i="36"/>
  <c r="F34" i="36"/>
  <c r="F36" i="36"/>
  <c r="F33" i="36"/>
  <c r="E34" i="36"/>
  <c r="E36" i="36"/>
  <c r="E35" i="36"/>
  <c r="E32" i="36"/>
  <c r="E33" i="36"/>
  <c r="C36" i="35"/>
  <c r="C35" i="35"/>
  <c r="G35" i="35"/>
  <c r="C33" i="35"/>
  <c r="C34" i="35"/>
  <c r="G33" i="35"/>
  <c r="D36" i="35"/>
  <c r="G36" i="33"/>
  <c r="G32" i="33"/>
  <c r="G35" i="33"/>
  <c r="G33" i="33"/>
  <c r="G34" i="33"/>
  <c r="D33" i="33"/>
  <c r="D34" i="33"/>
  <c r="D35" i="33"/>
  <c r="D32" i="33"/>
  <c r="D36" i="33"/>
  <c r="E34" i="33"/>
  <c r="E35" i="33"/>
  <c r="E33" i="33"/>
  <c r="E36" i="33"/>
  <c r="E32" i="33"/>
  <c r="C32" i="33"/>
  <c r="C33" i="33"/>
  <c r="C34" i="33"/>
  <c r="C35" i="33"/>
  <c r="C36" i="33"/>
  <c r="F35" i="33"/>
  <c r="F36" i="33"/>
  <c r="F32" i="33"/>
  <c r="F34" i="33"/>
  <c r="F33" i="33"/>
  <c r="G36" i="32"/>
  <c r="G35" i="32"/>
  <c r="E33" i="5"/>
  <c r="E32" i="5"/>
  <c r="G32" i="5"/>
  <c r="E36" i="5"/>
  <c r="G35" i="5"/>
  <c r="G34" i="5"/>
  <c r="G33" i="7"/>
  <c r="G32" i="7"/>
  <c r="E33" i="7"/>
  <c r="G35" i="7"/>
  <c r="E35" i="7"/>
  <c r="F32" i="7"/>
  <c r="F36" i="7"/>
  <c r="C33" i="7"/>
  <c r="D34" i="7"/>
  <c r="F34" i="16"/>
  <c r="E35" i="16"/>
  <c r="C33" i="16"/>
  <c r="C34" i="16"/>
  <c r="C32" i="19"/>
  <c r="C33" i="19"/>
  <c r="C34" i="19"/>
  <c r="C35" i="19"/>
  <c r="C36" i="19"/>
  <c r="G36" i="19"/>
  <c r="G34" i="19"/>
  <c r="G35" i="19"/>
  <c r="G32" i="19"/>
  <c r="G33" i="19"/>
  <c r="D33" i="19"/>
  <c r="D34" i="19"/>
  <c r="D32" i="19"/>
  <c r="D35" i="19"/>
  <c r="D36" i="19"/>
  <c r="E34" i="19"/>
  <c r="E35" i="19"/>
  <c r="E36" i="19"/>
  <c r="E32" i="19"/>
  <c r="E33" i="19"/>
  <c r="F35" i="19"/>
  <c r="F33" i="19"/>
  <c r="F34" i="19"/>
  <c r="F36" i="19"/>
  <c r="F32" i="19"/>
  <c r="F35" i="16"/>
  <c r="C36" i="16"/>
  <c r="E32" i="16"/>
  <c r="C35" i="16"/>
  <c r="E33" i="16"/>
  <c r="F33" i="16"/>
  <c r="E36" i="16"/>
  <c r="F32" i="16"/>
  <c r="C32" i="14"/>
  <c r="C33" i="14"/>
  <c r="C34" i="14"/>
  <c r="C35" i="14"/>
  <c r="C36" i="14"/>
  <c r="F35" i="14"/>
  <c r="F33" i="14"/>
  <c r="F36" i="14"/>
  <c r="F32" i="14"/>
  <c r="F34" i="14"/>
  <c r="D33" i="14"/>
  <c r="D32" i="14"/>
  <c r="D34" i="14"/>
  <c r="D35" i="14"/>
  <c r="D36" i="14"/>
  <c r="G36" i="14"/>
  <c r="G35" i="14"/>
  <c r="G32" i="14"/>
  <c r="G33" i="14"/>
  <c r="G34" i="14"/>
  <c r="E34" i="14"/>
  <c r="E35" i="14"/>
  <c r="E36" i="14"/>
  <c r="E33" i="14"/>
  <c r="E32" i="14"/>
  <c r="D33" i="12"/>
  <c r="D34" i="12"/>
  <c r="D35" i="12"/>
  <c r="D36" i="12"/>
  <c r="D32" i="12"/>
  <c r="G36" i="12"/>
  <c r="G32" i="12"/>
  <c r="G33" i="12"/>
  <c r="G34" i="12"/>
  <c r="G35" i="12"/>
  <c r="E34" i="12"/>
  <c r="E35" i="12"/>
  <c r="E36" i="12"/>
  <c r="E32" i="12"/>
  <c r="E33" i="12"/>
  <c r="F35" i="12"/>
  <c r="F36" i="12"/>
  <c r="F32" i="12"/>
  <c r="F33" i="12"/>
  <c r="F34" i="12"/>
  <c r="C32" i="12"/>
  <c r="C33" i="12"/>
  <c r="C34" i="12"/>
  <c r="C36" i="12"/>
  <c r="C35" i="12"/>
  <c r="G32" i="11"/>
  <c r="G33" i="11"/>
  <c r="G36" i="11"/>
  <c r="G34" i="11"/>
  <c r="G35" i="11"/>
  <c r="D35" i="11"/>
  <c r="D36" i="11"/>
  <c r="D34" i="11"/>
  <c r="D33" i="11"/>
  <c r="D32" i="11"/>
  <c r="C34" i="11"/>
  <c r="C35" i="11"/>
  <c r="C32" i="11"/>
  <c r="C36" i="11"/>
  <c r="C33" i="11"/>
  <c r="F36" i="11"/>
  <c r="F33" i="11"/>
  <c r="F32" i="11"/>
  <c r="F34" i="11"/>
  <c r="F35" i="11"/>
  <c r="E36" i="11"/>
  <c r="E32" i="11"/>
  <c r="E34" i="11"/>
  <c r="E35" i="11"/>
  <c r="E33" i="11"/>
  <c r="C35" i="7"/>
  <c r="D35" i="7"/>
  <c r="C32" i="7"/>
  <c r="C34" i="7"/>
  <c r="D33" i="7"/>
  <c r="C36" i="7"/>
  <c r="G34" i="7"/>
  <c r="F31" i="2"/>
  <c r="G30" i="2"/>
  <c r="E30" i="2"/>
  <c r="G31" i="2"/>
  <c r="G36" i="2" s="1"/>
  <c r="C30" i="2"/>
  <c r="E31" i="2"/>
  <c r="C31" i="2"/>
  <c r="D30" i="2"/>
  <c r="D34" i="2" s="1"/>
  <c r="F30" i="2"/>
  <c r="D32" i="2" l="1"/>
  <c r="G35" i="2"/>
  <c r="G32" i="2"/>
  <c r="G33" i="2"/>
  <c r="G34" i="2"/>
  <c r="F35" i="2"/>
  <c r="F33" i="2"/>
  <c r="F34" i="2"/>
  <c r="F32" i="2"/>
  <c r="F36" i="2"/>
  <c r="D33" i="2"/>
  <c r="C32" i="2"/>
  <c r="C35" i="2"/>
  <c r="C34" i="2"/>
  <c r="C33" i="2"/>
  <c r="C36" i="2"/>
  <c r="D36" i="2"/>
  <c r="E33" i="2"/>
  <c r="E35" i="2"/>
  <c r="E34" i="2"/>
  <c r="E36" i="2"/>
  <c r="E32" i="2"/>
  <c r="D35" i="2"/>
</calcChain>
</file>

<file path=xl/sharedStrings.xml><?xml version="1.0" encoding="utf-8"?>
<sst xmlns="http://schemas.openxmlformats.org/spreadsheetml/2006/main" count="1147" uniqueCount="47">
  <si>
    <t>Costanti varie</t>
  </si>
  <si>
    <t xml:space="preserve">Valore </t>
  </si>
  <si>
    <t>Errore</t>
  </si>
  <si>
    <t>d</t>
  </si>
  <si>
    <t>g</t>
  </si>
  <si>
    <t>Misura di d</t>
  </si>
  <si>
    <t>pressione</t>
  </si>
  <si>
    <t>n</t>
  </si>
  <si>
    <t>d0</t>
  </si>
  <si>
    <t>d1</t>
  </si>
  <si>
    <t>densità aria</t>
  </si>
  <si>
    <t>densità olio</t>
  </si>
  <si>
    <t>cst corr vis</t>
  </si>
  <si>
    <t>e</t>
  </si>
  <si>
    <t>deltax</t>
  </si>
  <si>
    <t>Errore strumentale</t>
  </si>
  <si>
    <t>Dev std media</t>
  </si>
  <si>
    <t>Misure</t>
  </si>
  <si>
    <t>deltaV</t>
  </si>
  <si>
    <t>eta_0</t>
  </si>
  <si>
    <t>Ohm</t>
  </si>
  <si>
    <t>t</t>
  </si>
  <si>
    <t>E</t>
  </si>
  <si>
    <t>discesa</t>
  </si>
  <si>
    <t>v</t>
  </si>
  <si>
    <t>r</t>
  </si>
  <si>
    <t>dr/dv</t>
  </si>
  <si>
    <t>delta t</t>
  </si>
  <si>
    <t>dr/dt</t>
  </si>
  <si>
    <t>sigmav</t>
  </si>
  <si>
    <t>sigma t</t>
  </si>
  <si>
    <t>errore</t>
  </si>
  <si>
    <t>errore relativo</t>
  </si>
  <si>
    <t>sigmat</t>
  </si>
  <si>
    <t>Media</t>
  </si>
  <si>
    <t>devstd</t>
  </si>
  <si>
    <t>salita</t>
  </si>
  <si>
    <t>Q</t>
  </si>
  <si>
    <t>q</t>
  </si>
  <si>
    <t>dq/dr</t>
  </si>
  <si>
    <t>dq/dE</t>
  </si>
  <si>
    <t>dq/dv</t>
  </si>
  <si>
    <t>dq/dv0</t>
  </si>
  <si>
    <t>Errore relativo</t>
  </si>
  <si>
    <t>value</t>
  </si>
  <si>
    <t>error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</si>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</sst>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E+0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9">
    <xf numFmtId="0" fontId="0" fillId="0" borderId="0" xfId="0"/>
    <xf numFmtId="11" fontId="0" fillId="0" borderId="0" xfId="0" applyNumberFormat="1"/>
    <xf numFmtId="11" fontId="0" fillId="0" borderId="0" xfId="0" applyNumberFormat="1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1" xfId="0" applyBorder="1"/>
    <xf numFmtId="11" fontId="0" fillId="0" borderId="1" xfId="0" applyNumberFormat="1" applyBorder="1"/>
    <xf numFmtId="164" fontId="0" fillId="0" borderId="1" xfId="0" applyNumberFormat="1" applyBorder="1"/>
    <xf numFmtId="0" fontId="0" fillId="0" borderId="0" xfId="0"/>
    <xf numFmtId="11" fontId="0" fillId="0" borderId="0" xfId="0" applyNumberFormat="1"/>
    <xf numFmtId="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 vertical="center"/>
    </xf>
    <xf numFmtId="1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 vertical="center"/>
    </xf>
    <xf numFmtId="1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 vertical="center"/>
    </xf>
    <xf numFmtId="1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 vertical="center"/>
    </xf>
    <xf numFmtId="1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/>
    <xf numFmtId="1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/>
    <xf numFmtId="1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/>
    <xf numFmtId="1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/>
    <xf numFmtId="1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/>
    <xf numFmtId="1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/>
    <xf numFmtId="1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/>
    <xf numFmtId="1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/>
    <xf numFmtId="1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/>
    <xf numFmtId="1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/>
    <xf numFmtId="1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/>
    <xf numFmtId="1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/>
    <xf numFmtId="1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/>
    <xf numFmtId="1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/>
    <xf numFmtId="1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/>
    <xf numFmtId="1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/>
    <xf numFmtId="1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/>
    <xf numFmtId="1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/>
    <xf numFmtId="1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68"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q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'Misura di prova'!$C$61:$C$70</c:f>
                <c:numCache>
                  <c:formatCode>General</c:formatCode>
                  <c:ptCount val="10"/>
                  <c:pt idx="0">
                    <c:v>2.1088249686831988E-17</c:v>
                  </c:pt>
                  <c:pt idx="1">
                    <c:v>2.0935446628475073E-17</c:v>
                  </c:pt>
                  <c:pt idx="2">
                    <c:v>2.0935446628475067E-17</c:v>
                  </c:pt>
                  <c:pt idx="3">
                    <c:v>2.0786264518502469E-17</c:v>
                  </c:pt>
                  <c:pt idx="4">
                    <c:v>2.0935446628475073E-17</c:v>
                  </c:pt>
                  <c:pt idx="5">
                    <c:v>4.4470183044618965E-17</c:v>
                  </c:pt>
                  <c:pt idx="6">
                    <c:v>4.2650135979265237E-17</c:v>
                  </c:pt>
                  <c:pt idx="7">
                    <c:v>4.0944718387439781E-17</c:v>
                  </c:pt>
                  <c:pt idx="8">
                    <c:v>4.6415777391789195E-17</c:v>
                  </c:pt>
                  <c:pt idx="9">
                    <c:v>4.4470183044618946E-17</c:v>
                  </c:pt>
                </c:numCache>
              </c:numRef>
            </c:plus>
            <c:minus>
              <c:numRef>
                <c:f>'Misura di prova'!$C$61:$C$70</c:f>
                <c:numCache>
                  <c:formatCode>General</c:formatCode>
                  <c:ptCount val="10"/>
                  <c:pt idx="0">
                    <c:v>2.1088249686831988E-17</c:v>
                  </c:pt>
                  <c:pt idx="1">
                    <c:v>2.0935446628475073E-17</c:v>
                  </c:pt>
                  <c:pt idx="2">
                    <c:v>2.0935446628475067E-17</c:v>
                  </c:pt>
                  <c:pt idx="3">
                    <c:v>2.0786264518502469E-17</c:v>
                  </c:pt>
                  <c:pt idx="4">
                    <c:v>2.0935446628475073E-17</c:v>
                  </c:pt>
                  <c:pt idx="5">
                    <c:v>4.4470183044618965E-17</c:v>
                  </c:pt>
                  <c:pt idx="6">
                    <c:v>4.2650135979265237E-17</c:v>
                  </c:pt>
                  <c:pt idx="7">
                    <c:v>4.0944718387439781E-17</c:v>
                  </c:pt>
                  <c:pt idx="8">
                    <c:v>4.6415777391789195E-17</c:v>
                  </c:pt>
                  <c:pt idx="9">
                    <c:v>4.4470183044618946E-17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'Misura di prova'!$A$61:$A$70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'Misura di prova'!$B$61:$B$70</c:f>
              <c:numCache>
                <c:formatCode>0.00E+00</c:formatCode>
                <c:ptCount val="10"/>
                <c:pt idx="0">
                  <c:v>3.2486977540370734E-16</c:v>
                </c:pt>
                <c:pt idx="1">
                  <c:v>3.2300334414976302E-16</c:v>
                </c:pt>
                <c:pt idx="2">
                  <c:v>3.2300334414976297E-16</c:v>
                </c:pt>
                <c:pt idx="3">
                  <c:v>3.2117246396732235E-16</c:v>
                </c:pt>
                <c:pt idx="4">
                  <c:v>3.2300334414976302E-16</c:v>
                </c:pt>
                <c:pt idx="5">
                  <c:v>3.3419748412864248E-16</c:v>
                </c:pt>
                <c:pt idx="6">
                  <c:v>3.2363024755768481E-16</c:v>
                </c:pt>
                <c:pt idx="7">
                  <c:v>3.1353266594543639E-16</c:v>
                </c:pt>
                <c:pt idx="8">
                  <c:v>3.4526792244107438E-16</c:v>
                </c:pt>
                <c:pt idx="9">
                  <c:v>3.3419748412864238E-16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36C-4840-BEBD-E6843051C7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8061936"/>
        <c:axId val="458066528"/>
      </c:scatterChart>
      <c:valAx>
        <c:axId val="458061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58066528"/>
        <c:crosses val="autoZero"/>
        <c:crossBetween val="midCat"/>
      </c:valAx>
      <c:valAx>
        <c:axId val="458066528"/>
        <c:scaling>
          <c:orientation val="minMax"/>
          <c:min val="2.5000000000000022E-1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58061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q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'Misura (1)'!$C$61:$C$70</c:f>
                <c:numCache>
                  <c:formatCode>General</c:formatCode>
                  <c:ptCount val="10"/>
                  <c:pt idx="0">
                    <c:v>8.5427931150038163E-19</c:v>
                  </c:pt>
                  <c:pt idx="1">
                    <c:v>2.7768946450124004E-18</c:v>
                  </c:pt>
                  <c:pt idx="2">
                    <c:v>2.0328119168151799E-18</c:v>
                  </c:pt>
                  <c:pt idx="3">
                    <c:v>1.4948586960424845E-18</c:v>
                  </c:pt>
                  <c:pt idx="4">
                    <c:v>5.7615296660513704E-19</c:v>
                  </c:pt>
                  <c:pt idx="5">
                    <c:v>1.277311683200391E-18</c:v>
                  </c:pt>
                  <c:pt idx="6">
                    <c:v>1.7664268559790732E-18</c:v>
                  </c:pt>
                  <c:pt idx="7">
                    <c:v>1.9008221798404304E-18</c:v>
                  </c:pt>
                  <c:pt idx="8">
                    <c:v>2.5020926220843045E-18</c:v>
                  </c:pt>
                  <c:pt idx="9">
                    <c:v>2.2343720825460396E-18</c:v>
                  </c:pt>
                </c:numCache>
              </c:numRef>
            </c:plus>
            <c:minus>
              <c:numRef>
                <c:f>'Misura (1)'!$C$61:$C$70</c:f>
                <c:numCache>
                  <c:formatCode>General</c:formatCode>
                  <c:ptCount val="10"/>
                  <c:pt idx="0">
                    <c:v>8.5427931150038163E-19</c:v>
                  </c:pt>
                  <c:pt idx="1">
                    <c:v>2.7768946450124004E-18</c:v>
                  </c:pt>
                  <c:pt idx="2">
                    <c:v>2.0328119168151799E-18</c:v>
                  </c:pt>
                  <c:pt idx="3">
                    <c:v>1.4948586960424845E-18</c:v>
                  </c:pt>
                  <c:pt idx="4">
                    <c:v>5.7615296660513704E-19</c:v>
                  </c:pt>
                  <c:pt idx="5">
                    <c:v>1.277311683200391E-18</c:v>
                  </c:pt>
                  <c:pt idx="6">
                    <c:v>1.7664268559790732E-18</c:v>
                  </c:pt>
                  <c:pt idx="7">
                    <c:v>1.9008221798404304E-18</c:v>
                  </c:pt>
                  <c:pt idx="8">
                    <c:v>2.5020926220843045E-18</c:v>
                  </c:pt>
                  <c:pt idx="9">
                    <c:v>2.2343720825460396E-18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'Misura (1)'!$A$61:$A$70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'Misura (1)'!$B$61:$B$70</c:f>
              <c:numCache>
                <c:formatCode>0.00E+00</c:formatCode>
                <c:ptCount val="10"/>
                <c:pt idx="0">
                  <c:v>1.5236653275269429E-18</c:v>
                </c:pt>
                <c:pt idx="1">
                  <c:v>3.7276437822834661E-18</c:v>
                </c:pt>
                <c:pt idx="2">
                  <c:v>3.0231945939407138E-18</c:v>
                </c:pt>
                <c:pt idx="3">
                  <c:v>2.4154345098803191E-18</c:v>
                </c:pt>
                <c:pt idx="4">
                  <c:v>1.0625223282871733E-18</c:v>
                </c:pt>
                <c:pt idx="5">
                  <c:v>1.9621381235617542E-18</c:v>
                </c:pt>
                <c:pt idx="6">
                  <c:v>2.510550837378102E-18</c:v>
                </c:pt>
                <c:pt idx="7">
                  <c:v>2.6480672261350282E-18</c:v>
                </c:pt>
                <c:pt idx="8">
                  <c:v>3.210113375637471E-18</c:v>
                </c:pt>
                <c:pt idx="9">
                  <c:v>2.9695844167495857E-18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70-4B95-B2C5-27D070F08A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8061936"/>
        <c:axId val="458066528"/>
      </c:scatterChart>
      <c:valAx>
        <c:axId val="458061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58066528"/>
        <c:crosses val="autoZero"/>
        <c:crossBetween val="midCat"/>
      </c:valAx>
      <c:valAx>
        <c:axId val="45806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58061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q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'Misura (2)'!$C$61:$C$70</c:f>
                <c:numCache>
                  <c:formatCode>General</c:formatCode>
                  <c:ptCount val="10"/>
                  <c:pt idx="0">
                    <c:v>6.526984322351342E-18</c:v>
                  </c:pt>
                  <c:pt idx="1">
                    <c:v>7.202570806599373E-18</c:v>
                  </c:pt>
                  <c:pt idx="2">
                    <c:v>6.3268022269722729E-18</c:v>
                  </c:pt>
                  <c:pt idx="3">
                    <c:v>6.3268022269722729E-18</c:v>
                  </c:pt>
                  <c:pt idx="4">
                    <c:v>3.3068405128405461E-18</c:v>
                  </c:pt>
                  <c:pt idx="5">
                    <c:v>5.695838126216849E-18</c:v>
                  </c:pt>
                  <c:pt idx="6">
                    <c:v>4.3277633450005005E-18</c:v>
                  </c:pt>
                  <c:pt idx="7">
                    <c:v>5.3358874791220059E-18</c:v>
                  </c:pt>
                  <c:pt idx="8">
                    <c:v>4.5818444699052373E-18</c:v>
                  </c:pt>
                  <c:pt idx="9">
                    <c:v>3.3445790993703863E-18</c:v>
                  </c:pt>
                </c:numCache>
              </c:numRef>
            </c:plus>
            <c:minus>
              <c:numRef>
                <c:f>'Misura (2)'!$C$61:$C$70</c:f>
                <c:numCache>
                  <c:formatCode>General</c:formatCode>
                  <c:ptCount val="10"/>
                  <c:pt idx="0">
                    <c:v>6.526984322351342E-18</c:v>
                  </c:pt>
                  <c:pt idx="1">
                    <c:v>7.202570806599373E-18</c:v>
                  </c:pt>
                  <c:pt idx="2">
                    <c:v>6.3268022269722729E-18</c:v>
                  </c:pt>
                  <c:pt idx="3">
                    <c:v>6.3268022269722729E-18</c:v>
                  </c:pt>
                  <c:pt idx="4">
                    <c:v>3.3068405128405461E-18</c:v>
                  </c:pt>
                  <c:pt idx="5">
                    <c:v>5.695838126216849E-18</c:v>
                  </c:pt>
                  <c:pt idx="6">
                    <c:v>4.3277633450005005E-18</c:v>
                  </c:pt>
                  <c:pt idx="7">
                    <c:v>5.3358874791220059E-18</c:v>
                  </c:pt>
                  <c:pt idx="8">
                    <c:v>4.5818444699052373E-18</c:v>
                  </c:pt>
                  <c:pt idx="9">
                    <c:v>3.3445790993703863E-18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'Misura (2)'!$A$61:$A$70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'Misura (2)'!$B$61:$B$70</c:f>
              <c:numCache>
                <c:formatCode>0.00E+00</c:formatCode>
                <c:ptCount val="10"/>
                <c:pt idx="0">
                  <c:v>8.9308216713483661E-18</c:v>
                </c:pt>
                <c:pt idx="1">
                  <c:v>9.4143589742837367E-18</c:v>
                </c:pt>
                <c:pt idx="2">
                  <c:v>8.7818070308210962E-18</c:v>
                </c:pt>
                <c:pt idx="3">
                  <c:v>8.7818070308210962E-18</c:v>
                </c:pt>
                <c:pt idx="4">
                  <c:v>6.0413914464907986E-18</c:v>
                </c:pt>
                <c:pt idx="5">
                  <c:v>6.5722200042454882E-18</c:v>
                </c:pt>
                <c:pt idx="6">
                  <c:v>5.4857534717241322E-18</c:v>
                </c:pt>
                <c:pt idx="7">
                  <c:v>6.300603371115192E-18</c:v>
                </c:pt>
                <c:pt idx="8">
                  <c:v>5.6994845928758795E-18</c:v>
                </c:pt>
                <c:pt idx="9">
                  <c:v>4.5927672806106351E-18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02-48E9-9507-EFB9FA60D1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8061936"/>
        <c:axId val="458066528"/>
      </c:scatterChart>
      <c:valAx>
        <c:axId val="458061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58066528"/>
        <c:crosses val="autoZero"/>
        <c:crossBetween val="midCat"/>
      </c:valAx>
      <c:valAx>
        <c:axId val="45806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58061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q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'Misura (3)'!$C$61:$C$70</c:f>
                <c:numCache>
                  <c:formatCode>General</c:formatCode>
                  <c:ptCount val="10"/>
                  <c:pt idx="0">
                    <c:v>8.5644654597474718E-16</c:v>
                  </c:pt>
                  <c:pt idx="1">
                    <c:v>1.7471427381157875E-15</c:v>
                  </c:pt>
                  <c:pt idx="2">
                    <c:v>9.8189688123287167E-16</c:v>
                  </c:pt>
                  <c:pt idx="3">
                    <c:v>9.6229995217336454E-16</c:v>
                  </c:pt>
                  <c:pt idx="4">
                    <c:v>9.7196715078349391E-16</c:v>
                  </c:pt>
                  <c:pt idx="5">
                    <c:v>2.4179220673216856E-15</c:v>
                  </c:pt>
                  <c:pt idx="6">
                    <c:v>2.4715954722708247E-15</c:v>
                  </c:pt>
                  <c:pt idx="7">
                    <c:v>1.0859690753984558E-15</c:v>
                  </c:pt>
                  <c:pt idx="8">
                    <c:v>1.6796851790935733E-15</c:v>
                  </c:pt>
                  <c:pt idx="9">
                    <c:v>1.2734422254840859E-15</c:v>
                  </c:pt>
                </c:numCache>
              </c:numRef>
            </c:plus>
            <c:minus>
              <c:numRef>
                <c:f>'Misura (3)'!$C$61:$C$70</c:f>
                <c:numCache>
                  <c:formatCode>General</c:formatCode>
                  <c:ptCount val="10"/>
                  <c:pt idx="0">
                    <c:v>8.5644654597474718E-16</c:v>
                  </c:pt>
                  <c:pt idx="1">
                    <c:v>1.7471427381157875E-15</c:v>
                  </c:pt>
                  <c:pt idx="2">
                    <c:v>9.8189688123287167E-16</c:v>
                  </c:pt>
                  <c:pt idx="3">
                    <c:v>9.6229995217336454E-16</c:v>
                  </c:pt>
                  <c:pt idx="4">
                    <c:v>9.7196715078349391E-16</c:v>
                  </c:pt>
                  <c:pt idx="5">
                    <c:v>2.4179220673216856E-15</c:v>
                  </c:pt>
                  <c:pt idx="6">
                    <c:v>2.4715954722708247E-15</c:v>
                  </c:pt>
                  <c:pt idx="7">
                    <c:v>1.0859690753984558E-15</c:v>
                  </c:pt>
                  <c:pt idx="8">
                    <c:v>1.6796851790935733E-15</c:v>
                  </c:pt>
                  <c:pt idx="9">
                    <c:v>1.2734422254840859E-15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'Misura (3)'!$A$61:$A$70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'Misura (3)'!$B$61:$B$70</c:f>
              <c:numCache>
                <c:formatCode>0.00E+00</c:formatCode>
                <c:ptCount val="10"/>
                <c:pt idx="0">
                  <c:v>2.1417035756469758E-15</c:v>
                </c:pt>
                <c:pt idx="1">
                  <c:v>3.6926615862418533E-15</c:v>
                </c:pt>
                <c:pt idx="2">
                  <c:v>2.4022255648677774E-15</c:v>
                </c:pt>
                <c:pt idx="3">
                  <c:v>2.3626336926707817E-15</c:v>
                </c:pt>
                <c:pt idx="4">
                  <c:v>2.3822144555508139E-15</c:v>
                </c:pt>
                <c:pt idx="5">
                  <c:v>3.7345146256667121E-15</c:v>
                </c:pt>
                <c:pt idx="6">
                  <c:v>3.7903031728534175E-15</c:v>
                </c:pt>
                <c:pt idx="7">
                  <c:v>2.0771115663333793E-15</c:v>
                </c:pt>
                <c:pt idx="8">
                  <c:v>2.893085300572817E-15</c:v>
                </c:pt>
                <c:pt idx="9">
                  <c:v>2.3524140088419963E-15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1E-419C-B91E-4E7E104BF1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8061936"/>
        <c:axId val="458066528"/>
      </c:scatterChart>
      <c:valAx>
        <c:axId val="458061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58066528"/>
        <c:crosses val="autoZero"/>
        <c:crossBetween val="midCat"/>
      </c:valAx>
      <c:valAx>
        <c:axId val="45806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58061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q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'Misura (4)'!$C$61:$C$70</c:f>
                <c:numCache>
                  <c:formatCode>General</c:formatCode>
                  <c:ptCount val="10"/>
                  <c:pt idx="0">
                    <c:v>1.6304990197524633E-15</c:v>
                  </c:pt>
                  <c:pt idx="1">
                    <c:v>2.0310413136264288E-15</c:v>
                  </c:pt>
                  <c:pt idx="2">
                    <c:v>1.9058584591691721E-15</c:v>
                  </c:pt>
                  <c:pt idx="3">
                    <c:v>2.0759757248777903E-15</c:v>
                  </c:pt>
                  <c:pt idx="4">
                    <c:v>1.0129674678777962E-15</c:v>
                  </c:pt>
                  <c:pt idx="5">
                    <c:v>2.3006159239100603E-15</c:v>
                  </c:pt>
                  <c:pt idx="6">
                    <c:v>2.3006159239101025E-15</c:v>
                  </c:pt>
                  <c:pt idx="7">
                    <c:v>2.4236289643060774E-15</c:v>
                  </c:pt>
                  <c:pt idx="8">
                    <c:v>2.4236289643060774E-15</c:v>
                  </c:pt>
                  <c:pt idx="9">
                    <c:v>2.3006159239101025E-15</c:v>
                  </c:pt>
                </c:numCache>
              </c:numRef>
            </c:plus>
            <c:minus>
              <c:numRef>
                <c:f>'Misura (4)'!$C$61:$C$70</c:f>
                <c:numCache>
                  <c:formatCode>General</c:formatCode>
                  <c:ptCount val="10"/>
                  <c:pt idx="0">
                    <c:v>1.6304990197524633E-15</c:v>
                  </c:pt>
                  <c:pt idx="1">
                    <c:v>2.0310413136264288E-15</c:v>
                  </c:pt>
                  <c:pt idx="2">
                    <c:v>1.9058584591691721E-15</c:v>
                  </c:pt>
                  <c:pt idx="3">
                    <c:v>2.0759757248777903E-15</c:v>
                  </c:pt>
                  <c:pt idx="4">
                    <c:v>1.0129674678777962E-15</c:v>
                  </c:pt>
                  <c:pt idx="5">
                    <c:v>2.3006159239100603E-15</c:v>
                  </c:pt>
                  <c:pt idx="6">
                    <c:v>2.3006159239101025E-15</c:v>
                  </c:pt>
                  <c:pt idx="7">
                    <c:v>2.4236289643060774E-15</c:v>
                  </c:pt>
                  <c:pt idx="8">
                    <c:v>2.4236289643060774E-15</c:v>
                  </c:pt>
                  <c:pt idx="9">
                    <c:v>2.3006159239101025E-15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'Misura (4)'!$A$61:$A$70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'Misura (4)'!$B$61:$B$70</c:f>
              <c:numCache>
                <c:formatCode>0.00E+00</c:formatCode>
                <c:ptCount val="10"/>
                <c:pt idx="0">
                  <c:v>4.0163727658283881E-15</c:v>
                </c:pt>
                <c:pt idx="1">
                  <c:v>4.5011336683804236E-15</c:v>
                </c:pt>
                <c:pt idx="2">
                  <c:v>4.3561832561167422E-15</c:v>
                </c:pt>
                <c:pt idx="3">
                  <c:v>4.5518968929284412E-15</c:v>
                </c:pt>
                <c:pt idx="4">
                  <c:v>3.0991607107410129E-15</c:v>
                </c:pt>
                <c:pt idx="5">
                  <c:v>3.9040046208250249E-15</c:v>
                </c:pt>
                <c:pt idx="6">
                  <c:v>3.9040046208250675E-15</c:v>
                </c:pt>
                <c:pt idx="7">
                  <c:v>4.0278030306817012E-15</c:v>
                </c:pt>
                <c:pt idx="8">
                  <c:v>4.0278030306817012E-15</c:v>
                </c:pt>
                <c:pt idx="9">
                  <c:v>3.9040046208250675E-15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5A8-4D78-81FA-A944852C63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8061936"/>
        <c:axId val="458066528"/>
      </c:scatterChart>
      <c:valAx>
        <c:axId val="458061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58066528"/>
        <c:crosses val="autoZero"/>
        <c:crossBetween val="midCat"/>
      </c:valAx>
      <c:valAx>
        <c:axId val="45806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58061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q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'Misura (5)'!$C$61:$C$70</c:f>
                <c:numCache>
                  <c:formatCode>General</c:formatCode>
                  <c:ptCount val="10"/>
                  <c:pt idx="0">
                    <c:v>3.5151931437258627E-15</c:v>
                  </c:pt>
                  <c:pt idx="1">
                    <c:v>3.1575074400035171E-15</c:v>
                  </c:pt>
                  <c:pt idx="2">
                    <c:v>1.3311914528438713E-15</c:v>
                  </c:pt>
                  <c:pt idx="3">
                    <c:v>1.7926173189457821E-15</c:v>
                  </c:pt>
                  <c:pt idx="4">
                    <c:v>1.9137843479364559E-15</c:v>
                  </c:pt>
                  <c:pt idx="5">
                    <c:v>1.8310930323761131E-15</c:v>
                  </c:pt>
                  <c:pt idx="6">
                    <c:v>1.6289713073697684E-15</c:v>
                  </c:pt>
                  <c:pt idx="7">
                    <c:v>2.9243270157942099E-15</c:v>
                  </c:pt>
                  <c:pt idx="8">
                    <c:v>4.0687653709973617E-15</c:v>
                  </c:pt>
                  <c:pt idx="9">
                    <c:v>3.0906826356007013E-15</c:v>
                  </c:pt>
                </c:numCache>
              </c:numRef>
            </c:plus>
            <c:minus>
              <c:numRef>
                <c:f>'Misura (5)'!$C$61:$C$70</c:f>
                <c:numCache>
                  <c:formatCode>General</c:formatCode>
                  <c:ptCount val="10"/>
                  <c:pt idx="0">
                    <c:v>3.5151931437258627E-15</c:v>
                  </c:pt>
                  <c:pt idx="1">
                    <c:v>3.1575074400035171E-15</c:v>
                  </c:pt>
                  <c:pt idx="2">
                    <c:v>1.3311914528438713E-15</c:v>
                  </c:pt>
                  <c:pt idx="3">
                    <c:v>1.7926173189457821E-15</c:v>
                  </c:pt>
                  <c:pt idx="4">
                    <c:v>1.9137843479364559E-15</c:v>
                  </c:pt>
                  <c:pt idx="5">
                    <c:v>1.8310930323761131E-15</c:v>
                  </c:pt>
                  <c:pt idx="6">
                    <c:v>1.6289713073697684E-15</c:v>
                  </c:pt>
                  <c:pt idx="7">
                    <c:v>2.9243270157942099E-15</c:v>
                  </c:pt>
                  <c:pt idx="8">
                    <c:v>4.0687653709973617E-15</c:v>
                  </c:pt>
                  <c:pt idx="9">
                    <c:v>3.0906826356007013E-15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'Misura (5)'!$A$61:$A$70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'Misura (5)'!$B$61:$B$70</c:f>
              <c:numCache>
                <c:formatCode>0.00E+00</c:formatCode>
                <c:ptCount val="10"/>
                <c:pt idx="0">
                  <c:v>5.8937366164308391E-15</c:v>
                </c:pt>
                <c:pt idx="1">
                  <c:v>5.5694486154581965E-15</c:v>
                </c:pt>
                <c:pt idx="2">
                  <c:v>3.4028692986154889E-15</c:v>
                </c:pt>
                <c:pt idx="3">
                  <c:v>4.0722040152230507E-15</c:v>
                </c:pt>
                <c:pt idx="4">
                  <c:v>4.2290582114381862E-15</c:v>
                </c:pt>
                <c:pt idx="5">
                  <c:v>3.270194997260185E-15</c:v>
                </c:pt>
                <c:pt idx="6">
                  <c:v>3.0241834103154508E-15</c:v>
                </c:pt>
                <c:pt idx="7">
                  <c:v>4.4084575637208276E-15</c:v>
                </c:pt>
                <c:pt idx="8">
                  <c:v>5.3810622745269378E-15</c:v>
                </c:pt>
                <c:pt idx="9">
                  <c:v>4.5608096303086632E-15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14-455C-9B31-C815A80E2D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8061936"/>
        <c:axId val="458066528"/>
      </c:scatterChart>
      <c:valAx>
        <c:axId val="458061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58066528"/>
        <c:crosses val="autoZero"/>
        <c:crossBetween val="midCat"/>
      </c:valAx>
      <c:valAx>
        <c:axId val="45806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58061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q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'Misura (6)'!$C$61:$C$70</c:f>
                <c:numCache>
                  <c:formatCode>General</c:formatCode>
                  <c:ptCount val="10"/>
                  <c:pt idx="0">
                    <c:v>7.1194635750988033E-15</c:v>
                  </c:pt>
                  <c:pt idx="1">
                    <c:v>2.704699596936607E-15</c:v>
                  </c:pt>
                  <c:pt idx="2">
                    <c:v>2.7373641501360793E-15</c:v>
                  </c:pt>
                  <c:pt idx="3">
                    <c:v>1.9413761750117918E-15</c:v>
                  </c:pt>
                  <c:pt idx="4">
                    <c:v>2.3510882487594875E-15</c:v>
                  </c:pt>
                  <c:pt idx="5">
                    <c:v>1.2932121900630651E-15</c:v>
                  </c:pt>
                  <c:pt idx="6">
                    <c:v>5.3663701807072095E-15</c:v>
                  </c:pt>
                  <c:pt idx="7">
                    <c:v>5.0615154669442939E-15</c:v>
                  </c:pt>
                  <c:pt idx="8">
                    <c:v>5.0615154669442939E-15</c:v>
                  </c:pt>
                  <c:pt idx="9">
                    <c:v>5.3663701807072095E-15</c:v>
                  </c:pt>
                </c:numCache>
              </c:numRef>
            </c:plus>
            <c:minus>
              <c:numRef>
                <c:f>'Misura (6)'!$C$61:$C$70</c:f>
                <c:numCache>
                  <c:formatCode>General</c:formatCode>
                  <c:ptCount val="10"/>
                  <c:pt idx="0">
                    <c:v>7.1194635750988033E-15</c:v>
                  </c:pt>
                  <c:pt idx="1">
                    <c:v>2.704699596936607E-15</c:v>
                  </c:pt>
                  <c:pt idx="2">
                    <c:v>2.7373641501360793E-15</c:v>
                  </c:pt>
                  <c:pt idx="3">
                    <c:v>1.9413761750117918E-15</c:v>
                  </c:pt>
                  <c:pt idx="4">
                    <c:v>2.3510882487594875E-15</c:v>
                  </c:pt>
                  <c:pt idx="5">
                    <c:v>1.2932121900630651E-15</c:v>
                  </c:pt>
                  <c:pt idx="6">
                    <c:v>5.3663701807072095E-15</c:v>
                  </c:pt>
                  <c:pt idx="7">
                    <c:v>5.0615154669442939E-15</c:v>
                  </c:pt>
                  <c:pt idx="8">
                    <c:v>5.0615154669442939E-15</c:v>
                  </c:pt>
                  <c:pt idx="9">
                    <c:v>5.3663701807072095E-15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'Misura (6)'!$A$61:$A$70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'Misura (6)'!$B$61:$B$70</c:f>
              <c:numCache>
                <c:formatCode>0.00E+00</c:formatCode>
                <c:ptCount val="10"/>
                <c:pt idx="0">
                  <c:v>1.2084105507795069E-14</c:v>
                </c:pt>
                <c:pt idx="1">
                  <c:v>7.4336924547912894E-15</c:v>
                </c:pt>
                <c:pt idx="2">
                  <c:v>7.4832968606899943E-15</c:v>
                </c:pt>
                <c:pt idx="3">
                  <c:v>6.1132371428398042E-15</c:v>
                </c:pt>
                <c:pt idx="4">
                  <c:v>6.8647007400708274E-15</c:v>
                </c:pt>
                <c:pt idx="5">
                  <c:v>1.8046755488985088E-15</c:v>
                </c:pt>
                <c:pt idx="6">
                  <c:v>6.5382152066777289E-15</c:v>
                </c:pt>
                <c:pt idx="7">
                  <c:v>6.2685707438437885E-15</c:v>
                </c:pt>
                <c:pt idx="8">
                  <c:v>6.2685707438437885E-15</c:v>
                </c:pt>
                <c:pt idx="9">
                  <c:v>6.5382152066777289E-15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B3-4D20-B4A8-4BD01C90D7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8061936"/>
        <c:axId val="458066528"/>
      </c:scatterChart>
      <c:valAx>
        <c:axId val="458061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58066528"/>
        <c:crosses val="autoZero"/>
        <c:crossBetween val="midCat"/>
      </c:valAx>
      <c:valAx>
        <c:axId val="45806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58061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q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'Misura (7)'!$C$61:$C$70</c:f>
                <c:numCache>
                  <c:formatCode>General</c:formatCode>
                  <c:ptCount val="10"/>
                  <c:pt idx="0">
                    <c:v>1.0388796670435565E-15</c:v>
                  </c:pt>
                  <c:pt idx="1">
                    <c:v>1.1739729612420687E-15</c:v>
                  </c:pt>
                  <c:pt idx="2">
                    <c:v>1.1495822298693376E-15</c:v>
                  </c:pt>
                  <c:pt idx="3">
                    <c:v>9.992857420703468E-16</c:v>
                  </c:pt>
                  <c:pt idx="4">
                    <c:v>8.1918776838927187E-16</c:v>
                  </c:pt>
                  <c:pt idx="5">
                    <c:v>1.6497085054323104E-15</c:v>
                  </c:pt>
                  <c:pt idx="6">
                    <c:v>1.4901063440011961E-15</c:v>
                  </c:pt>
                  <c:pt idx="7">
                    <c:v>1.5668067075060645E-15</c:v>
                  </c:pt>
                  <c:pt idx="8">
                    <c:v>1.7395004975707386E-15</c:v>
                  </c:pt>
                  <c:pt idx="9">
                    <c:v>1.8369698020521005E-15</c:v>
                  </c:pt>
                </c:numCache>
              </c:numRef>
            </c:plus>
            <c:minus>
              <c:numRef>
                <c:f>'Misura (7)'!$C$61:$C$70</c:f>
                <c:numCache>
                  <c:formatCode>General</c:formatCode>
                  <c:ptCount val="10"/>
                  <c:pt idx="0">
                    <c:v>1.0388796670435565E-15</c:v>
                  </c:pt>
                  <c:pt idx="1">
                    <c:v>1.1739729612420687E-15</c:v>
                  </c:pt>
                  <c:pt idx="2">
                    <c:v>1.1495822298693376E-15</c:v>
                  </c:pt>
                  <c:pt idx="3">
                    <c:v>9.992857420703468E-16</c:v>
                  </c:pt>
                  <c:pt idx="4">
                    <c:v>8.1918776838927187E-16</c:v>
                  </c:pt>
                  <c:pt idx="5">
                    <c:v>1.6497085054323104E-15</c:v>
                  </c:pt>
                  <c:pt idx="6">
                    <c:v>1.4901063440011961E-15</c:v>
                  </c:pt>
                  <c:pt idx="7">
                    <c:v>1.5668067075060645E-15</c:v>
                  </c:pt>
                  <c:pt idx="8">
                    <c:v>1.7395004975707386E-15</c:v>
                  </c:pt>
                  <c:pt idx="9">
                    <c:v>1.8369698020521005E-15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'Misura (7)'!$A$61:$A$70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'Misura (7)'!$B$61:$B$70</c:f>
              <c:numCache>
                <c:formatCode>0.00E+00</c:formatCode>
                <c:ptCount val="10"/>
                <c:pt idx="0">
                  <c:v>3.0953315635570561E-15</c:v>
                </c:pt>
                <c:pt idx="1">
                  <c:v>3.2735270939879635E-15</c:v>
                </c:pt>
                <c:pt idx="2">
                  <c:v>3.2421960117144141E-15</c:v>
                </c:pt>
                <c:pt idx="3">
                  <c:v>3.0407819113843205E-15</c:v>
                </c:pt>
                <c:pt idx="4">
                  <c:v>2.7765413944375462E-15</c:v>
                </c:pt>
                <c:pt idx="5">
                  <c:v>2.9989555771801155E-15</c:v>
                </c:pt>
                <c:pt idx="6">
                  <c:v>2.825722453925764E-15</c:v>
                </c:pt>
                <c:pt idx="7">
                  <c:v>2.9100892347314395E-15</c:v>
                </c:pt>
                <c:pt idx="8">
                  <c:v>3.0926913082561168E-15</c:v>
                </c:pt>
                <c:pt idx="9">
                  <c:v>3.1917079255898857E-15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BD-46AA-91FD-26C34C5C1C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8061936"/>
        <c:axId val="458066528"/>
      </c:scatterChart>
      <c:valAx>
        <c:axId val="458061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58066528"/>
        <c:crosses val="autoZero"/>
        <c:crossBetween val="midCat"/>
      </c:valAx>
      <c:valAx>
        <c:axId val="45806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58061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q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'Misura (8)'!$C$61:$C$70</c:f>
                <c:numCache>
                  <c:formatCode>General</c:formatCode>
                  <c:ptCount val="10"/>
                  <c:pt idx="0">
                    <c:v>2.1886927171872454E-16</c:v>
                  </c:pt>
                  <c:pt idx="1">
                    <c:v>2.0269657011837358E-16</c:v>
                  </c:pt>
                  <c:pt idx="2">
                    <c:v>2.3452572332122552E-16</c:v>
                  </c:pt>
                  <c:pt idx="3">
                    <c:v>2.4306423199271508E-16</c:v>
                  </c:pt>
                  <c:pt idx="4">
                    <c:v>1.9037007637483215E-16</c:v>
                  </c:pt>
                  <c:pt idx="5">
                    <c:v>2.9317854012035545E-16</c:v>
                  </c:pt>
                  <c:pt idx="6">
                    <c:v>3.0602308301927314E-16</c:v>
                  </c:pt>
                  <c:pt idx="7">
                    <c:v>3.2456588030534776E-16</c:v>
                  </c:pt>
                  <c:pt idx="8">
                    <c:v>2.6989150051229742E-16</c:v>
                  </c:pt>
                  <c:pt idx="9">
                    <c:v>2.9736487235746094E-16</c:v>
                  </c:pt>
                </c:numCache>
              </c:numRef>
            </c:plus>
            <c:minus>
              <c:numRef>
                <c:f>'Misura (8)'!$C$61:$C$70</c:f>
                <c:numCache>
                  <c:formatCode>General</c:formatCode>
                  <c:ptCount val="10"/>
                  <c:pt idx="0">
                    <c:v>2.1886927171872454E-16</c:v>
                  </c:pt>
                  <c:pt idx="1">
                    <c:v>2.0269657011837358E-16</c:v>
                  </c:pt>
                  <c:pt idx="2">
                    <c:v>2.3452572332122552E-16</c:v>
                  </c:pt>
                  <c:pt idx="3">
                    <c:v>2.4306423199271508E-16</c:v>
                  </c:pt>
                  <c:pt idx="4">
                    <c:v>1.9037007637483215E-16</c:v>
                  </c:pt>
                  <c:pt idx="5">
                    <c:v>2.9317854012035545E-16</c:v>
                  </c:pt>
                  <c:pt idx="6">
                    <c:v>3.0602308301927314E-16</c:v>
                  </c:pt>
                  <c:pt idx="7">
                    <c:v>3.2456588030534776E-16</c:v>
                  </c:pt>
                  <c:pt idx="8">
                    <c:v>2.6989150051229742E-16</c:v>
                  </c:pt>
                  <c:pt idx="9">
                    <c:v>2.9736487235746094E-16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'Misura (8)'!$A$61:$A$70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'Misura (8)'!$B$61:$B$70</c:f>
              <c:numCache>
                <c:formatCode>0.00E+00</c:formatCode>
                <c:ptCount val="10"/>
                <c:pt idx="0">
                  <c:v>9.8242902076729251E-16</c:v>
                </c:pt>
                <c:pt idx="1">
                  <c:v>9.4491538172693566E-16</c:v>
                </c:pt>
                <c:pt idx="2">
                  <c:v>1.0172979134560215E-15</c:v>
                </c:pt>
                <c:pt idx="3">
                  <c:v>1.0357714989864741E-15</c:v>
                </c:pt>
                <c:pt idx="4">
                  <c:v>9.1517707167015989E-16</c:v>
                </c:pt>
                <c:pt idx="5">
                  <c:v>9.7324233089802287E-16</c:v>
                </c:pt>
                <c:pt idx="6">
                  <c:v>9.9734921967048912E-16</c:v>
                </c:pt>
                <c:pt idx="7">
                  <c:v>1.0312495320067458E-15</c:v>
                </c:pt>
                <c:pt idx="8">
                  <c:v>9.2810602851556526E-16</c:v>
                </c:pt>
                <c:pt idx="9">
                  <c:v>9.8115802571883265E-16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E7-4EFA-A40D-D8820BCFFE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8061936"/>
        <c:axId val="458066528"/>
      </c:scatterChart>
      <c:valAx>
        <c:axId val="458061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58066528"/>
        <c:crosses val="autoZero"/>
        <c:crossBetween val="midCat"/>
      </c:valAx>
      <c:valAx>
        <c:axId val="45806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58061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q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'Misura (9)'!$C$61:$C$70</c:f>
                <c:numCache>
                  <c:formatCode>General</c:formatCode>
                  <c:ptCount val="10"/>
                  <c:pt idx="0">
                    <c:v>7.7178460703316686E-16</c:v>
                  </c:pt>
                  <c:pt idx="1">
                    <c:v>1.0567279535887425E-15</c:v>
                  </c:pt>
                  <c:pt idx="2">
                    <c:v>8.8567349039426175E-16</c:v>
                  </c:pt>
                  <c:pt idx="3">
                    <c:v>9.5313487545583704E-16</c:v>
                  </c:pt>
                  <c:pt idx="4">
                    <c:v>9.2975827498763683E-16</c:v>
                  </c:pt>
                  <c:pt idx="5">
                    <c:v>9.4380739095090726E-16</c:v>
                  </c:pt>
                  <c:pt idx="6">
                    <c:v>8.5510968447733169E-16</c:v>
                  </c:pt>
                  <c:pt idx="7">
                    <c:v>9.2032035843402341E-16</c:v>
                  </c:pt>
                  <c:pt idx="8">
                    <c:v>1.1067555343428265E-15</c:v>
                  </c:pt>
                  <c:pt idx="9">
                    <c:v>1.1710001486758239E-15</c:v>
                  </c:pt>
                </c:numCache>
              </c:numRef>
            </c:plus>
            <c:minus>
              <c:numRef>
                <c:f>'Misura (9)'!$C$61:$C$70</c:f>
                <c:numCache>
                  <c:formatCode>General</c:formatCode>
                  <c:ptCount val="10"/>
                  <c:pt idx="0">
                    <c:v>7.7178460703316686E-16</c:v>
                  </c:pt>
                  <c:pt idx="1">
                    <c:v>1.0567279535887425E-15</c:v>
                  </c:pt>
                  <c:pt idx="2">
                    <c:v>8.8567349039426175E-16</c:v>
                  </c:pt>
                  <c:pt idx="3">
                    <c:v>9.5313487545583704E-16</c:v>
                  </c:pt>
                  <c:pt idx="4">
                    <c:v>9.2975827498763683E-16</c:v>
                  </c:pt>
                  <c:pt idx="5">
                    <c:v>9.4380739095090726E-16</c:v>
                  </c:pt>
                  <c:pt idx="6">
                    <c:v>8.5510968447733169E-16</c:v>
                  </c:pt>
                  <c:pt idx="7">
                    <c:v>9.2032035843402341E-16</c:v>
                  </c:pt>
                  <c:pt idx="8">
                    <c:v>1.1067555343428265E-15</c:v>
                  </c:pt>
                  <c:pt idx="9">
                    <c:v>1.1710001486758239E-15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'Misura (9)'!$A$61:$A$70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'Misura (9)'!$B$61:$B$70</c:f>
              <c:numCache>
                <c:formatCode>0.00E+00</c:formatCode>
                <c:ptCount val="10"/>
                <c:pt idx="0">
                  <c:v>1.7813069987729252E-15</c:v>
                </c:pt>
                <c:pt idx="1">
                  <c:v>2.0916324242788517E-15</c:v>
                </c:pt>
                <c:pt idx="2">
                  <c:v>1.9116804023878353E-15</c:v>
                </c:pt>
                <c:pt idx="3">
                  <c:v>1.9846895084121847E-15</c:v>
                </c:pt>
                <c:pt idx="4">
                  <c:v>1.9597127089827902E-15</c:v>
                </c:pt>
                <c:pt idx="5">
                  <c:v>1.8117840048538609E-15</c:v>
                </c:pt>
                <c:pt idx="6">
                  <c:v>1.7156707513534731E-15</c:v>
                </c:pt>
                <c:pt idx="7">
                  <c:v>1.7868072054244664E-15</c:v>
                </c:pt>
                <c:pt idx="8">
                  <c:v>1.9768480706480438E-15</c:v>
                </c:pt>
                <c:pt idx="9">
                  <c:v>2.0384391399742167E-15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A6-496C-AB9C-FC49191158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8061936"/>
        <c:axId val="458066528"/>
      </c:scatterChart>
      <c:valAx>
        <c:axId val="458061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58066528"/>
        <c:crosses val="autoZero"/>
        <c:crossBetween val="midCat"/>
      </c:valAx>
      <c:valAx>
        <c:axId val="45806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58061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q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'Misura (10)'!$C$61:$C$70</c:f>
                <c:numCache>
                  <c:formatCode>General</c:formatCode>
                  <c:ptCount val="10"/>
                  <c:pt idx="0">
                    <c:v>3.570317488051386E-16</c:v>
                  </c:pt>
                  <c:pt idx="1">
                    <c:v>3.6082859478583274E-16</c:v>
                  </c:pt>
                  <c:pt idx="2">
                    <c:v>3.2923176962191426E-16</c:v>
                  </c:pt>
                  <c:pt idx="3">
                    <c:v>4.0349610436877876E-16</c:v>
                  </c:pt>
                  <c:pt idx="4">
                    <c:v>2.7770168052252795E-16</c:v>
                  </c:pt>
                  <c:pt idx="5">
                    <c:v>4.6417473887802201E-16</c:v>
                  </c:pt>
                  <c:pt idx="6">
                    <c:v>4.7828755429648455E-16</c:v>
                  </c:pt>
                  <c:pt idx="7">
                    <c:v>4.3176378548416693E-16</c:v>
                  </c:pt>
                  <c:pt idx="8">
                    <c:v>4.1408259604781277E-16</c:v>
                  </c:pt>
                  <c:pt idx="9">
                    <c:v>4.5073977019811102E-16</c:v>
                  </c:pt>
                </c:numCache>
              </c:numRef>
            </c:plus>
            <c:minus>
              <c:numRef>
                <c:f>'Misura (10)'!$C$61:$C$70</c:f>
                <c:numCache>
                  <c:formatCode>General</c:formatCode>
                  <c:ptCount val="10"/>
                  <c:pt idx="0">
                    <c:v>3.570317488051386E-16</c:v>
                  </c:pt>
                  <c:pt idx="1">
                    <c:v>3.6082859478583274E-16</c:v>
                  </c:pt>
                  <c:pt idx="2">
                    <c:v>3.2923176962191426E-16</c:v>
                  </c:pt>
                  <c:pt idx="3">
                    <c:v>4.0349610436877876E-16</c:v>
                  </c:pt>
                  <c:pt idx="4">
                    <c:v>2.7770168052252795E-16</c:v>
                  </c:pt>
                  <c:pt idx="5">
                    <c:v>4.6417473887802201E-16</c:v>
                  </c:pt>
                  <c:pt idx="6">
                    <c:v>4.7828755429648455E-16</c:v>
                  </c:pt>
                  <c:pt idx="7">
                    <c:v>4.3176378548416693E-16</c:v>
                  </c:pt>
                  <c:pt idx="8">
                    <c:v>4.1408259604781277E-16</c:v>
                  </c:pt>
                  <c:pt idx="9">
                    <c:v>4.5073977019811102E-16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'Misura (10)'!$A$61:$A$70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'Misura (10)'!$B$61:$B$70</c:f>
              <c:numCache>
                <c:formatCode>0.00E+00</c:formatCode>
                <c:ptCount val="10"/>
                <c:pt idx="0">
                  <c:v>1.2210472599822842E-15</c:v>
                </c:pt>
                <c:pt idx="1">
                  <c:v>1.2287077863691387E-15</c:v>
                </c:pt>
                <c:pt idx="2">
                  <c:v>1.1633680024812923E-15</c:v>
                </c:pt>
                <c:pt idx="3">
                  <c:v>1.3116015420477419E-15</c:v>
                </c:pt>
                <c:pt idx="4">
                  <c:v>1.0478837332841742E-15</c:v>
                </c:pt>
                <c:pt idx="5">
                  <c:v>1.2262012368455711E-15</c:v>
                </c:pt>
                <c:pt idx="6">
                  <c:v>1.2491778641467865E-15</c:v>
                </c:pt>
                <c:pt idx="7">
                  <c:v>1.1720023377680996E-15</c:v>
                </c:pt>
                <c:pt idx="8">
                  <c:v>1.1415314606489373E-15</c:v>
                </c:pt>
                <c:pt idx="9">
                  <c:v>1.2039841674716684E-15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24-4A5A-AEA2-CE3CFFDBEE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8061936"/>
        <c:axId val="458066528"/>
      </c:scatterChart>
      <c:valAx>
        <c:axId val="458061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58066528"/>
        <c:crosses val="autoZero"/>
        <c:crossBetween val="midCat"/>
      </c:valAx>
      <c:valAx>
        <c:axId val="45806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58061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q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'Misura (11)'!$C$61:$C$70</c:f>
                <c:numCache>
                  <c:formatCode>General</c:formatCode>
                  <c:ptCount val="10"/>
                  <c:pt idx="0">
                    <c:v>2.7670432271125498E-16</c:v>
                  </c:pt>
                  <c:pt idx="1">
                    <c:v>3.9841491296495058E-16</c:v>
                  </c:pt>
                  <c:pt idx="2">
                    <c:v>2.7176806008249782E-16</c:v>
                  </c:pt>
                  <c:pt idx="3">
                    <c:v>2.669904368180007E-16</c:v>
                  </c:pt>
                  <c:pt idx="4">
                    <c:v>2.4933707773746119E-16</c:v>
                  </c:pt>
                  <c:pt idx="5">
                    <c:v>5.0072184665156476E-16</c:v>
                  </c:pt>
                  <c:pt idx="6">
                    <c:v>8.0616344233938165E-16</c:v>
                  </c:pt>
                  <c:pt idx="7">
                    <c:v>8.38423934500591E-16</c:v>
                  </c:pt>
                  <c:pt idx="8">
                    <c:v>3.1621307170104873E-16</c:v>
                  </c:pt>
                  <c:pt idx="9">
                    <c:v>5.5779240791157634E-16</c:v>
                  </c:pt>
                </c:numCache>
              </c:numRef>
            </c:plus>
            <c:minus>
              <c:numRef>
                <c:f>'Misura (11)'!$C$61:$C$70</c:f>
                <c:numCache>
                  <c:formatCode>General</c:formatCode>
                  <c:ptCount val="10"/>
                  <c:pt idx="0">
                    <c:v>2.7670432271125498E-16</c:v>
                  </c:pt>
                  <c:pt idx="1">
                    <c:v>3.9841491296495058E-16</c:v>
                  </c:pt>
                  <c:pt idx="2">
                    <c:v>2.7176806008249782E-16</c:v>
                  </c:pt>
                  <c:pt idx="3">
                    <c:v>2.669904368180007E-16</c:v>
                  </c:pt>
                  <c:pt idx="4">
                    <c:v>2.4933707773746119E-16</c:v>
                  </c:pt>
                  <c:pt idx="5">
                    <c:v>5.0072184665156476E-16</c:v>
                  </c:pt>
                  <c:pt idx="6">
                    <c:v>8.0616344233938165E-16</c:v>
                  </c:pt>
                  <c:pt idx="7">
                    <c:v>8.38423934500591E-16</c:v>
                  </c:pt>
                  <c:pt idx="8">
                    <c:v>3.1621307170104873E-16</c:v>
                  </c:pt>
                  <c:pt idx="9">
                    <c:v>5.5779240791157634E-16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'Misura (11)'!$A$61:$A$70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'Misura (11)'!$B$61:$B$70</c:f>
              <c:numCache>
                <c:formatCode>0.00E+00</c:formatCode>
                <c:ptCount val="10"/>
                <c:pt idx="0">
                  <c:v>1.4824000266899479E-15</c:v>
                </c:pt>
                <c:pt idx="1">
                  <c:v>1.7671719811149386E-15</c:v>
                </c:pt>
                <c:pt idx="2">
                  <c:v>1.4693818802019459E-15</c:v>
                </c:pt>
                <c:pt idx="3">
                  <c:v>1.4566421967404298E-15</c:v>
                </c:pt>
                <c:pt idx="4">
                  <c:v>1.4082967312967154E-15</c:v>
                </c:pt>
                <c:pt idx="5">
                  <c:v>1.4433775443532992E-15</c:v>
                </c:pt>
                <c:pt idx="6">
                  <c:v>1.925425270206203E-15</c:v>
                </c:pt>
                <c:pt idx="7">
                  <c:v>1.9703976527930546E-15</c:v>
                </c:pt>
                <c:pt idx="8">
                  <c:v>1.0737090429323447E-15</c:v>
                </c:pt>
                <c:pt idx="9">
                  <c:v>1.5429741819262164E-15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24-4E2D-8597-E09225CD85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8061936"/>
        <c:axId val="458066528"/>
      </c:scatterChart>
      <c:valAx>
        <c:axId val="458061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58066528"/>
        <c:crosses val="autoZero"/>
        <c:crossBetween val="midCat"/>
      </c:valAx>
      <c:valAx>
        <c:axId val="45806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58061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q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'Misura (12)'!$C$61:$C$70</c:f>
                <c:numCache>
                  <c:formatCode>General</c:formatCode>
                  <c:ptCount val="10"/>
                  <c:pt idx="0">
                    <c:v>4.5577188343564502E-17</c:v>
                  </c:pt>
                  <c:pt idx="1">
                    <c:v>4.6317467964773414E-17</c:v>
                  </c:pt>
                  <c:pt idx="2">
                    <c:v>4.0741761356800822E-17</c:v>
                  </c:pt>
                  <c:pt idx="3">
                    <c:v>4.4140066739285721E-17</c:v>
                  </c:pt>
                  <c:pt idx="4">
                    <c:v>4.2835857387133255E-17</c:v>
                  </c:pt>
                  <c:pt idx="5">
                    <c:v>1.2105489868284964E-16</c:v>
                  </c:pt>
                  <c:pt idx="6">
                    <c:v>1.3793449696182751E-16</c:v>
                  </c:pt>
                  <c:pt idx="7">
                    <c:v>1.8693217657928286E-16</c:v>
                  </c:pt>
                  <c:pt idx="8">
                    <c:v>1.4016191136128295E-16</c:v>
                  </c:pt>
                  <c:pt idx="9">
                    <c:v>1.5479854344074738E-16</c:v>
                  </c:pt>
                </c:numCache>
              </c:numRef>
            </c:plus>
            <c:minus>
              <c:numRef>
                <c:f>'Misura (12)'!$C$61:$C$70</c:f>
                <c:numCache>
                  <c:formatCode>General</c:formatCode>
                  <c:ptCount val="10"/>
                  <c:pt idx="0">
                    <c:v>4.5577188343564502E-17</c:v>
                  </c:pt>
                  <c:pt idx="1">
                    <c:v>4.6317467964773414E-17</c:v>
                  </c:pt>
                  <c:pt idx="2">
                    <c:v>4.0741761356800822E-17</c:v>
                  </c:pt>
                  <c:pt idx="3">
                    <c:v>4.4140066739285721E-17</c:v>
                  </c:pt>
                  <c:pt idx="4">
                    <c:v>4.2835857387133255E-17</c:v>
                  </c:pt>
                  <c:pt idx="5">
                    <c:v>1.2105489868284964E-16</c:v>
                  </c:pt>
                  <c:pt idx="6">
                    <c:v>1.3793449696182751E-16</c:v>
                  </c:pt>
                  <c:pt idx="7">
                    <c:v>1.8693217657928286E-16</c:v>
                  </c:pt>
                  <c:pt idx="8">
                    <c:v>1.4016191136128295E-16</c:v>
                  </c:pt>
                  <c:pt idx="9">
                    <c:v>1.5479854344074738E-16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'Misura (12)'!$A$61:$A$70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'Misura (12)'!$B$61:$B$70</c:f>
              <c:numCache>
                <c:formatCode>0.00E+00</c:formatCode>
                <c:ptCount val="10"/>
                <c:pt idx="0">
                  <c:v>5.1727298530251887E-16</c:v>
                </c:pt>
                <c:pt idx="1">
                  <c:v>5.2317848180492394E-16</c:v>
                </c:pt>
                <c:pt idx="2">
                  <c:v>4.7675873016083938E-16</c:v>
                </c:pt>
                <c:pt idx="3">
                  <c:v>5.0559152122532228E-16</c:v>
                </c:pt>
                <c:pt idx="4">
                  <c:v>4.9473294742002796E-16</c:v>
                </c:pt>
                <c:pt idx="5">
                  <c:v>5.7649084499153125E-16</c:v>
                </c:pt>
                <c:pt idx="6">
                  <c:v>6.3270659701275139E-16</c:v>
                </c:pt>
                <c:pt idx="7">
                  <c:v>7.7868808725999576E-16</c:v>
                </c:pt>
                <c:pt idx="8">
                  <c:v>6.3986184739678955E-16</c:v>
                </c:pt>
                <c:pt idx="9">
                  <c:v>6.8552535439311655E-16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B5-4504-98B1-8AD925D40A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8061936"/>
        <c:axId val="458066528"/>
      </c:scatterChart>
      <c:valAx>
        <c:axId val="458061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58066528"/>
        <c:crosses val="autoZero"/>
        <c:crossBetween val="midCat"/>
      </c:valAx>
      <c:valAx>
        <c:axId val="45806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58061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q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'Misura (13)'!$C$61:$C$70</c:f>
                <c:numCache>
                  <c:formatCode>General</c:formatCode>
                  <c:ptCount val="10"/>
                  <c:pt idx="0">
                    <c:v>2.4940314923466662E-16</c:v>
                  </c:pt>
                  <c:pt idx="1">
                    <c:v>4.0015190045556195E-16</c:v>
                  </c:pt>
                  <c:pt idx="2">
                    <c:v>3.1318453053586046E-16</c:v>
                  </c:pt>
                  <c:pt idx="3">
                    <c:v>2.8549436647894877E-16</c:v>
                  </c:pt>
                  <c:pt idx="4">
                    <c:v>2.9745993312562144E-16</c:v>
                  </c:pt>
                  <c:pt idx="5">
                    <c:v>2.6712187065797547E-16</c:v>
                  </c:pt>
                  <c:pt idx="6">
                    <c:v>4.5430037269360011E-16</c:v>
                  </c:pt>
                  <c:pt idx="7">
                    <c:v>5.9443787952458443E-16</c:v>
                  </c:pt>
                  <c:pt idx="8">
                    <c:v>4.1344402290835728E-16</c:v>
                  </c:pt>
                  <c:pt idx="9">
                    <c:v>4.6715312798839556E-16</c:v>
                  </c:pt>
                </c:numCache>
              </c:numRef>
            </c:plus>
            <c:minus>
              <c:numRef>
                <c:f>'Misura (13)'!$C$61:$C$70</c:f>
                <c:numCache>
                  <c:formatCode>General</c:formatCode>
                  <c:ptCount val="10"/>
                  <c:pt idx="0">
                    <c:v>2.4940314923466662E-16</c:v>
                  </c:pt>
                  <c:pt idx="1">
                    <c:v>4.0015190045556195E-16</c:v>
                  </c:pt>
                  <c:pt idx="2">
                    <c:v>3.1318453053586046E-16</c:v>
                  </c:pt>
                  <c:pt idx="3">
                    <c:v>2.8549436647894877E-16</c:v>
                  </c:pt>
                  <c:pt idx="4">
                    <c:v>2.9745993312562144E-16</c:v>
                  </c:pt>
                  <c:pt idx="5">
                    <c:v>2.6712187065797547E-16</c:v>
                  </c:pt>
                  <c:pt idx="6">
                    <c:v>4.5430037269360011E-16</c:v>
                  </c:pt>
                  <c:pt idx="7">
                    <c:v>5.9443787952458443E-16</c:v>
                  </c:pt>
                  <c:pt idx="8">
                    <c:v>4.1344402290835728E-16</c:v>
                  </c:pt>
                  <c:pt idx="9">
                    <c:v>4.6715312798839556E-16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'Misura (13)'!$A$61:$A$70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'Misura (13)'!$B$61:$B$70</c:f>
              <c:numCache>
                <c:formatCode>0.00E+00</c:formatCode>
                <c:ptCount val="10"/>
                <c:pt idx="0">
                  <c:v>1.3130752910720966E-15</c:v>
                </c:pt>
                <c:pt idx="1">
                  <c:v>1.6876923570695206E-15</c:v>
                </c:pt>
                <c:pt idx="2">
                  <c:v>1.4856813655673338E-15</c:v>
                </c:pt>
                <c:pt idx="3">
                  <c:v>1.413908048586553E-15</c:v>
                </c:pt>
                <c:pt idx="4">
                  <c:v>1.4454567593473367E-15</c:v>
                </c:pt>
                <c:pt idx="5">
                  <c:v>9.2749704758633976E-16</c:v>
                </c:pt>
                <c:pt idx="6">
                  <c:v>1.3251743890798247E-15</c:v>
                </c:pt>
                <c:pt idx="7">
                  <c:v>1.569898906921982E-15</c:v>
                </c:pt>
                <c:pt idx="8">
                  <c:v>1.246759138644489E-15</c:v>
                </c:pt>
                <c:pt idx="9">
                  <c:v>1.3490948306734221E-15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8A-4BBE-BCED-64FC7B08EE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8061936"/>
        <c:axId val="458066528"/>
      </c:scatterChart>
      <c:valAx>
        <c:axId val="458061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58066528"/>
        <c:crosses val="autoZero"/>
        <c:crossBetween val="midCat"/>
      </c:valAx>
      <c:valAx>
        <c:axId val="45806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58061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q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'Misura (14)'!$C$61:$C$70</c:f>
                <c:numCache>
                  <c:formatCode>General</c:formatCode>
                  <c:ptCount val="10"/>
                  <c:pt idx="0">
                    <c:v>1.6291559350677505E-16</c:v>
                  </c:pt>
                  <c:pt idx="1">
                    <c:v>1.4788967664020083E-16</c:v>
                  </c:pt>
                  <c:pt idx="2">
                    <c:v>1.3571109124465948E-16</c:v>
                  </c:pt>
                  <c:pt idx="3">
                    <c:v>1.4999490128333539E-16</c:v>
                  </c:pt>
                  <c:pt idx="4">
                    <c:v>1.2130338045130784E-16</c:v>
                  </c:pt>
                  <c:pt idx="5">
                    <c:v>2.3119069198029019E-16</c:v>
                  </c:pt>
                  <c:pt idx="6">
                    <c:v>2.1794663174753685E-16</c:v>
                  </c:pt>
                  <c:pt idx="7">
                    <c:v>2.8941416686008377E-16</c:v>
                  </c:pt>
                  <c:pt idx="8">
                    <c:v>2.3119069198029019E-16</c:v>
                  </c:pt>
                  <c:pt idx="9">
                    <c:v>2.4013530155401837E-16</c:v>
                  </c:pt>
                </c:numCache>
              </c:numRef>
            </c:plus>
            <c:minus>
              <c:numRef>
                <c:f>'Misura (14)'!$C$61:$C$70</c:f>
                <c:numCache>
                  <c:formatCode>General</c:formatCode>
                  <c:ptCount val="10"/>
                  <c:pt idx="0">
                    <c:v>1.6291559350677505E-16</c:v>
                  </c:pt>
                  <c:pt idx="1">
                    <c:v>1.4788967664020083E-16</c:v>
                  </c:pt>
                  <c:pt idx="2">
                    <c:v>1.3571109124465948E-16</c:v>
                  </c:pt>
                  <c:pt idx="3">
                    <c:v>1.4999490128333539E-16</c:v>
                  </c:pt>
                  <c:pt idx="4">
                    <c:v>1.2130338045130784E-16</c:v>
                  </c:pt>
                  <c:pt idx="5">
                    <c:v>2.3119069198029019E-16</c:v>
                  </c:pt>
                  <c:pt idx="6">
                    <c:v>2.1794663174753685E-16</c:v>
                  </c:pt>
                  <c:pt idx="7">
                    <c:v>2.8941416686008377E-16</c:v>
                  </c:pt>
                  <c:pt idx="8">
                    <c:v>2.3119069198029019E-16</c:v>
                  </c:pt>
                  <c:pt idx="9">
                    <c:v>2.4013530155401837E-16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'Misura (14)'!$A$61:$A$70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'Misura (14)'!$B$61:$B$70</c:f>
              <c:numCache>
                <c:formatCode>0.00E+00</c:formatCode>
                <c:ptCount val="10"/>
                <c:pt idx="0">
                  <c:v>1.2742681704773425E-15</c:v>
                </c:pt>
                <c:pt idx="1">
                  <c:v>1.2013279039155804E-15</c:v>
                </c:pt>
                <c:pt idx="2">
                  <c:v>1.1382393097206019E-15</c:v>
                </c:pt>
                <c:pt idx="3">
                  <c:v>1.211854061560248E-15</c:v>
                </c:pt>
                <c:pt idx="4">
                  <c:v>1.0581138192158989E-15</c:v>
                </c:pt>
                <c:pt idx="5">
                  <c:v>1.1187220591811854E-15</c:v>
                </c:pt>
                <c:pt idx="6">
                  <c:v>1.0743747480729409E-15</c:v>
                </c:pt>
                <c:pt idx="7">
                  <c:v>1.3000486817032189E-15</c:v>
                </c:pt>
                <c:pt idx="8">
                  <c:v>1.1187220591811854E-15</c:v>
                </c:pt>
                <c:pt idx="9">
                  <c:v>1.1479594742050883E-15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EC-4FC4-A38A-44DE7987C9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8061936"/>
        <c:axId val="458066528"/>
      </c:scatterChart>
      <c:valAx>
        <c:axId val="458061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58066528"/>
        <c:crosses val="autoZero"/>
        <c:crossBetween val="midCat"/>
      </c:valAx>
      <c:valAx>
        <c:axId val="45806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58061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q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'Misura (15)'!$C$61:$C$70</c:f>
                <c:numCache>
                  <c:formatCode>General</c:formatCode>
                  <c:ptCount val="10"/>
                  <c:pt idx="0">
                    <c:v>1.5112874738751899E-16</c:v>
                  </c:pt>
                  <c:pt idx="1">
                    <c:v>2.0384671769158471E-16</c:v>
                  </c:pt>
                  <c:pt idx="2">
                    <c:v>1.3349426980595811E-16</c:v>
                  </c:pt>
                  <c:pt idx="3">
                    <c:v>1.3935863487318653E-16</c:v>
                  </c:pt>
                  <c:pt idx="4">
                    <c:v>1.6128807698267942E-16</c:v>
                  </c:pt>
                  <c:pt idx="5">
                    <c:v>1.961422402904988E-16</c:v>
                  </c:pt>
                  <c:pt idx="6">
                    <c:v>2.3610815125418998E-16</c:v>
                  </c:pt>
                  <c:pt idx="7">
                    <c:v>2.4437538997225619E-16</c:v>
                  </c:pt>
                  <c:pt idx="8">
                    <c:v>2.1904940533794573E-16</c:v>
                  </c:pt>
                  <c:pt idx="9">
                    <c:v>2.4437538997225924E-16</c:v>
                  </c:pt>
                </c:numCache>
              </c:numRef>
            </c:plus>
            <c:minus>
              <c:numRef>
                <c:f>'Misura (15)'!$C$61:$C$70</c:f>
                <c:numCache>
                  <c:formatCode>General</c:formatCode>
                  <c:ptCount val="10"/>
                  <c:pt idx="0">
                    <c:v>1.5112874738751899E-16</c:v>
                  </c:pt>
                  <c:pt idx="1">
                    <c:v>2.0384671769158471E-16</c:v>
                  </c:pt>
                  <c:pt idx="2">
                    <c:v>1.3349426980595811E-16</c:v>
                  </c:pt>
                  <c:pt idx="3">
                    <c:v>1.3935863487318653E-16</c:v>
                  </c:pt>
                  <c:pt idx="4">
                    <c:v>1.6128807698267942E-16</c:v>
                  </c:pt>
                  <c:pt idx="5">
                    <c:v>1.961422402904988E-16</c:v>
                  </c:pt>
                  <c:pt idx="6">
                    <c:v>2.3610815125418998E-16</c:v>
                  </c:pt>
                  <c:pt idx="7">
                    <c:v>2.4437538997225619E-16</c:v>
                  </c:pt>
                  <c:pt idx="8">
                    <c:v>2.1904940533794573E-16</c:v>
                  </c:pt>
                  <c:pt idx="9">
                    <c:v>2.4437538997225924E-16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'Misura (15)'!$A$61:$A$70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'Misura (15)'!$B$61:$B$70</c:f>
              <c:numCache>
                <c:formatCode>0.00E+00</c:formatCode>
                <c:ptCount val="10"/>
                <c:pt idx="0">
                  <c:v>1.1811402613976141E-15</c:v>
                </c:pt>
                <c:pt idx="1">
                  <c:v>1.3829881157285288E-15</c:v>
                </c:pt>
                <c:pt idx="2">
                  <c:v>1.1037966910465188E-15</c:v>
                </c:pt>
                <c:pt idx="3">
                  <c:v>1.1302124950741287E-15</c:v>
                </c:pt>
                <c:pt idx="4">
                  <c:v>1.2231018716782384E-15</c:v>
                </c:pt>
                <c:pt idx="5">
                  <c:v>1.0266415423203282E-15</c:v>
                </c:pt>
                <c:pt idx="6">
                  <c:v>1.1542117628199976E-15</c:v>
                </c:pt>
                <c:pt idx="7">
                  <c:v>1.1791840526973793E-15</c:v>
                </c:pt>
                <c:pt idx="8">
                  <c:v>1.1012277925209347E-15</c:v>
                </c:pt>
                <c:pt idx="9">
                  <c:v>1.1791840526973886E-15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30E-49D1-BE3E-6ECD35485F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8061936"/>
        <c:axId val="458066528"/>
      </c:scatterChart>
      <c:valAx>
        <c:axId val="458061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58066528"/>
        <c:crosses val="autoZero"/>
        <c:crossBetween val="midCat"/>
      </c:valAx>
      <c:valAx>
        <c:axId val="45806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58061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q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'Misura (16)'!$C$61:$C$70</c:f>
                <c:numCache>
                  <c:formatCode>General</c:formatCode>
                  <c:ptCount val="10"/>
                  <c:pt idx="0">
                    <c:v>1.9154087171837765E-16</c:v>
                  </c:pt>
                  <c:pt idx="1">
                    <c:v>1.8974544854911685E-16</c:v>
                  </c:pt>
                  <c:pt idx="2">
                    <c:v>2.0834791673824396E-16</c:v>
                  </c:pt>
                  <c:pt idx="3">
                    <c:v>1.9430128964935085E-16</c:v>
                  </c:pt>
                  <c:pt idx="4">
                    <c:v>2.271469223533841E-16</c:v>
                  </c:pt>
                  <c:pt idx="5">
                    <c:v>2.4150566198008218E-16</c:v>
                  </c:pt>
                  <c:pt idx="6">
                    <c:v>3.7822879333670306E-16</c:v>
                  </c:pt>
                  <c:pt idx="7">
                    <c:v>4.2743802320394246E-16</c:v>
                  </c:pt>
                  <c:pt idx="8">
                    <c:v>3.4368538551737138E-16</c:v>
                  </c:pt>
                  <c:pt idx="9">
                    <c:v>3.7822879333670306E-16</c:v>
                  </c:pt>
                </c:numCache>
              </c:numRef>
            </c:plus>
            <c:minus>
              <c:numRef>
                <c:f>'Misura (16)'!$C$61:$C$70</c:f>
                <c:numCache>
                  <c:formatCode>General</c:formatCode>
                  <c:ptCount val="10"/>
                  <c:pt idx="0">
                    <c:v>1.9154087171837765E-16</c:v>
                  </c:pt>
                  <c:pt idx="1">
                    <c:v>1.8974544854911685E-16</c:v>
                  </c:pt>
                  <c:pt idx="2">
                    <c:v>2.0834791673824396E-16</c:v>
                  </c:pt>
                  <c:pt idx="3">
                    <c:v>1.9430128964935085E-16</c:v>
                  </c:pt>
                  <c:pt idx="4">
                    <c:v>2.271469223533841E-16</c:v>
                  </c:pt>
                  <c:pt idx="5">
                    <c:v>2.4150566198008218E-16</c:v>
                  </c:pt>
                  <c:pt idx="6">
                    <c:v>3.7822879333670306E-16</c:v>
                  </c:pt>
                  <c:pt idx="7">
                    <c:v>4.2743802320394246E-16</c:v>
                  </c:pt>
                  <c:pt idx="8">
                    <c:v>3.4368538551737138E-16</c:v>
                  </c:pt>
                  <c:pt idx="9">
                    <c:v>3.7822879333670306E-16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'Misura (16)'!$A$61:$A$70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'Misura (16)'!$B$61:$B$70</c:f>
              <c:numCache>
                <c:formatCode>0.00E+00</c:formatCode>
                <c:ptCount val="10"/>
                <c:pt idx="0">
                  <c:v>1.5169638680961209E-15</c:v>
                </c:pt>
                <c:pt idx="1">
                  <c:v>1.5091503495649695E-15</c:v>
                </c:pt>
                <c:pt idx="2">
                  <c:v>1.5877909547814618E-15</c:v>
                </c:pt>
                <c:pt idx="3">
                  <c:v>1.5288794838561249E-15</c:v>
                </c:pt>
                <c:pt idx="4">
                  <c:v>1.6625991718294996E-15</c:v>
                </c:pt>
                <c:pt idx="5">
                  <c:v>1.1603720187195466E-15</c:v>
                </c:pt>
                <c:pt idx="6">
                  <c:v>1.5648760195697902E-15</c:v>
                </c:pt>
                <c:pt idx="7">
                  <c:v>1.6915985879496075E-15</c:v>
                </c:pt>
                <c:pt idx="8">
                  <c:v>1.4708323224719949E-15</c:v>
                </c:pt>
                <c:pt idx="9">
                  <c:v>1.5648760195697902E-15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A7-48F0-9FE4-30886CFE8B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8061936"/>
        <c:axId val="458066528"/>
      </c:scatterChart>
      <c:valAx>
        <c:axId val="458061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58066528"/>
        <c:crosses val="autoZero"/>
        <c:crossBetween val="midCat"/>
      </c:valAx>
      <c:valAx>
        <c:axId val="45806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58061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q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'Misura (17)'!$C$61:$C$70</c:f>
                <c:numCache>
                  <c:formatCode>General</c:formatCode>
                  <c:ptCount val="10"/>
                  <c:pt idx="0">
                    <c:v>7.269812482903154E-17</c:v>
                  </c:pt>
                  <c:pt idx="1">
                    <c:v>7.3375916463470585E-17</c:v>
                  </c:pt>
                  <c:pt idx="2">
                    <c:v>6.7250773582222343E-17</c:v>
                  </c:pt>
                  <c:pt idx="3">
                    <c:v>7.4192426157835542E-17</c:v>
                  </c:pt>
                  <c:pt idx="4">
                    <c:v>7.098342457725014E-17</c:v>
                  </c:pt>
                  <c:pt idx="5">
                    <c:v>9.2521594259611621E-17</c:v>
                  </c:pt>
                  <c:pt idx="6">
                    <c:v>9.7621301344760421E-17</c:v>
                  </c:pt>
                  <c:pt idx="7">
                    <c:v>8.5630134718951525E-17</c:v>
                  </c:pt>
                  <c:pt idx="8">
                    <c:v>7.4795673021788107E-17</c:v>
                  </c:pt>
                  <c:pt idx="9">
                    <c:v>9.0802822918947289E-17</c:v>
                  </c:pt>
                </c:numCache>
              </c:numRef>
            </c:plus>
            <c:minus>
              <c:numRef>
                <c:f>'Misura (17)'!$C$61:$C$70</c:f>
                <c:numCache>
                  <c:formatCode>General</c:formatCode>
                  <c:ptCount val="10"/>
                  <c:pt idx="0">
                    <c:v>7.269812482903154E-17</c:v>
                  </c:pt>
                  <c:pt idx="1">
                    <c:v>7.3375916463470585E-17</c:v>
                  </c:pt>
                  <c:pt idx="2">
                    <c:v>6.7250773582222343E-17</c:v>
                  </c:pt>
                  <c:pt idx="3">
                    <c:v>7.4192426157835542E-17</c:v>
                  </c:pt>
                  <c:pt idx="4">
                    <c:v>7.098342457725014E-17</c:v>
                  </c:pt>
                  <c:pt idx="5">
                    <c:v>9.2521594259611621E-17</c:v>
                  </c:pt>
                  <c:pt idx="6">
                    <c:v>9.7621301344760421E-17</c:v>
                  </c:pt>
                  <c:pt idx="7">
                    <c:v>8.5630134718951525E-17</c:v>
                  </c:pt>
                  <c:pt idx="8">
                    <c:v>7.4795673021788107E-17</c:v>
                  </c:pt>
                  <c:pt idx="9">
                    <c:v>9.0802822918947289E-17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'Misura (17)'!$A$61:$A$70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'Misura (17)'!$B$61:$B$70</c:f>
              <c:numCache>
                <c:formatCode>0.00E+00</c:formatCode>
                <c:ptCount val="10"/>
                <c:pt idx="0">
                  <c:v>5.0506016084439576E-16</c:v>
                </c:pt>
                <c:pt idx="1">
                  <c:v>5.0945072526012609E-16</c:v>
                </c:pt>
                <c:pt idx="2">
                  <c:v>4.6940808018160507E-16</c:v>
                </c:pt>
                <c:pt idx="3">
                  <c:v>5.1472613139335663E-16</c:v>
                </c:pt>
                <c:pt idx="4">
                  <c:v>4.939071179032864E-16</c:v>
                </c:pt>
                <c:pt idx="5">
                  <c:v>5.0348604610681942E-16</c:v>
                </c:pt>
                <c:pt idx="6">
                  <c:v>5.2693717437876746E-16</c:v>
                </c:pt>
                <c:pt idx="7">
                  <c:v>4.7108229116348684E-16</c:v>
                </c:pt>
                <c:pt idx="8">
                  <c:v>4.1837946701874106E-16</c:v>
                </c:pt>
                <c:pt idx="9">
                  <c:v>4.9548244842388714E-16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F6-4643-A10C-1ED181D0C7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8061936"/>
        <c:axId val="458066528"/>
      </c:scatterChart>
      <c:valAx>
        <c:axId val="458061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58066528"/>
        <c:crosses val="autoZero"/>
        <c:crossBetween val="midCat"/>
      </c:valAx>
      <c:valAx>
        <c:axId val="45806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58061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q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'Misura (18)'!$C$61:$C$70</c:f>
                <c:numCache>
                  <c:formatCode>General</c:formatCode>
                  <c:ptCount val="10"/>
                  <c:pt idx="0">
                    <c:v>6.463007672792216E-17</c:v>
                  </c:pt>
                  <c:pt idx="1">
                    <c:v>6.5230669870908538E-17</c:v>
                  </c:pt>
                  <c:pt idx="2">
                    <c:v>6.6097186710950599E-17</c:v>
                  </c:pt>
                  <c:pt idx="3">
                    <c:v>6.4093421965458431E-17</c:v>
                  </c:pt>
                  <c:pt idx="4">
                    <c:v>6.4359673097893775E-17</c:v>
                  </c:pt>
                  <c:pt idx="5">
                    <c:v>5.1014651891671629E-17</c:v>
                  </c:pt>
                  <c:pt idx="6">
                    <c:v>7.4407120896219413E-17</c:v>
                  </c:pt>
                  <c:pt idx="7">
                    <c:v>7.9044604862222024E-17</c:v>
                  </c:pt>
                  <c:pt idx="8">
                    <c:v>7.4811793104976146E-17</c:v>
                  </c:pt>
                  <c:pt idx="9">
                    <c:v>6.9975481518072111E-17</c:v>
                  </c:pt>
                </c:numCache>
              </c:numRef>
            </c:plus>
            <c:minus>
              <c:numRef>
                <c:f>'Misura (18)'!$C$61:$C$70</c:f>
                <c:numCache>
                  <c:formatCode>General</c:formatCode>
                  <c:ptCount val="10"/>
                  <c:pt idx="0">
                    <c:v>6.463007672792216E-17</c:v>
                  </c:pt>
                  <c:pt idx="1">
                    <c:v>6.5230669870908538E-17</c:v>
                  </c:pt>
                  <c:pt idx="2">
                    <c:v>6.6097186710950599E-17</c:v>
                  </c:pt>
                  <c:pt idx="3">
                    <c:v>6.4093421965458431E-17</c:v>
                  </c:pt>
                  <c:pt idx="4">
                    <c:v>6.4359673097893775E-17</c:v>
                  </c:pt>
                  <c:pt idx="5">
                    <c:v>5.1014651891671629E-17</c:v>
                  </c:pt>
                  <c:pt idx="6">
                    <c:v>7.4407120896219413E-17</c:v>
                  </c:pt>
                  <c:pt idx="7">
                    <c:v>7.9044604862222024E-17</c:v>
                  </c:pt>
                  <c:pt idx="8">
                    <c:v>7.4811793104976146E-17</c:v>
                  </c:pt>
                  <c:pt idx="9">
                    <c:v>6.9975481518072111E-17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'Misura (18)'!$A$61:$A$70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'Misura (18)'!$B$61:$B$70</c:f>
              <c:numCache>
                <c:formatCode>0.00E+00</c:formatCode>
                <c:ptCount val="10"/>
                <c:pt idx="0">
                  <c:v>3.1313544036288778E-16</c:v>
                </c:pt>
                <c:pt idx="1">
                  <c:v>3.1600973971035658E-16</c:v>
                </c:pt>
                <c:pt idx="2">
                  <c:v>3.2015425679348938E-16</c:v>
                </c:pt>
                <c:pt idx="3">
                  <c:v>3.1056599094621101E-16</c:v>
                </c:pt>
                <c:pt idx="4">
                  <c:v>3.1184090859570708E-16</c:v>
                </c:pt>
                <c:pt idx="5">
                  <c:v>2.2800792892012654E-16</c:v>
                </c:pt>
                <c:pt idx="6">
                  <c:v>3.2801776113961776E-16</c:v>
                </c:pt>
                <c:pt idx="7">
                  <c:v>3.472654974662261E-16</c:v>
                </c:pt>
                <c:pt idx="8">
                  <c:v>3.2970495090706709E-16</c:v>
                </c:pt>
                <c:pt idx="9">
                  <c:v>3.0944567309160083E-16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91-418E-B206-85054E80F8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8061936"/>
        <c:axId val="458066528"/>
      </c:scatterChart>
      <c:valAx>
        <c:axId val="458061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58066528"/>
        <c:crosses val="autoZero"/>
        <c:crossBetween val="midCat"/>
      </c:valAx>
      <c:valAx>
        <c:axId val="45806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58061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q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'Misura (19)'!$C$61:$C$70</c:f>
                <c:numCache>
                  <c:formatCode>General</c:formatCode>
                  <c:ptCount val="10"/>
                  <c:pt idx="0">
                    <c:v>2.8407286393180895E-16</c:v>
                  </c:pt>
                  <c:pt idx="1">
                    <c:v>3.1052381406310567E-16</c:v>
                  </c:pt>
                  <c:pt idx="2">
                    <c:v>3.2993496702697742E-16</c:v>
                  </c:pt>
                  <c:pt idx="3">
                    <c:v>2.9023117784158182E-16</c:v>
                  </c:pt>
                  <c:pt idx="4">
                    <c:v>2.9543801900301031E-16</c:v>
                  </c:pt>
                  <c:pt idx="5">
                    <c:v>5.0102321159359568E-16</c:v>
                  </c:pt>
                  <c:pt idx="6">
                    <c:v>3.2790178327627536E-16</c:v>
                  </c:pt>
                  <c:pt idx="7">
                    <c:v>3.6147042147119168E-16</c:v>
                  </c:pt>
                  <c:pt idx="8">
                    <c:v>4.4310522741997942E-16</c:v>
                  </c:pt>
                  <c:pt idx="9">
                    <c:v>3.5499092070249972E-16</c:v>
                  </c:pt>
                </c:numCache>
              </c:numRef>
            </c:plus>
            <c:minus>
              <c:numRef>
                <c:f>'Misura (19)'!$C$61:$C$70</c:f>
                <c:numCache>
                  <c:formatCode>General</c:formatCode>
                  <c:ptCount val="10"/>
                  <c:pt idx="0">
                    <c:v>2.8407286393180895E-16</c:v>
                  </c:pt>
                  <c:pt idx="1">
                    <c:v>3.1052381406310567E-16</c:v>
                  </c:pt>
                  <c:pt idx="2">
                    <c:v>3.2993496702697742E-16</c:v>
                  </c:pt>
                  <c:pt idx="3">
                    <c:v>2.9023117784158182E-16</c:v>
                  </c:pt>
                  <c:pt idx="4">
                    <c:v>2.9543801900301031E-16</c:v>
                  </c:pt>
                  <c:pt idx="5">
                    <c:v>5.0102321159359568E-16</c:v>
                  </c:pt>
                  <c:pt idx="6">
                    <c:v>3.2790178327627536E-16</c:v>
                  </c:pt>
                  <c:pt idx="7">
                    <c:v>3.6147042147119168E-16</c:v>
                  </c:pt>
                  <c:pt idx="8">
                    <c:v>4.4310522741997942E-16</c:v>
                  </c:pt>
                  <c:pt idx="9">
                    <c:v>3.5499092070249972E-16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'Misura (19)'!$A$61:$A$70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'Misura (19)'!$B$61:$B$70</c:f>
              <c:numCache>
                <c:formatCode>0.00E+00</c:formatCode>
                <c:ptCount val="10"/>
                <c:pt idx="0">
                  <c:v>1.3438345789764076E-15</c:v>
                </c:pt>
                <c:pt idx="1">
                  <c:v>1.4310988839978228E-15</c:v>
                </c:pt>
                <c:pt idx="2">
                  <c:v>1.4922611664603861E-15</c:v>
                </c:pt>
                <c:pt idx="3">
                  <c:v>1.364581307320883E-15</c:v>
                </c:pt>
                <c:pt idx="4">
                  <c:v>1.3819141704017789E-15</c:v>
                </c:pt>
                <c:pt idx="5">
                  <c:v>1.6551410266595816E-15</c:v>
                </c:pt>
                <c:pt idx="6">
                  <c:v>1.2355843755956141E-15</c:v>
                </c:pt>
                <c:pt idx="7">
                  <c:v>1.3243252122677087E-15</c:v>
                </c:pt>
                <c:pt idx="8">
                  <c:v>1.5243820325445562E-15</c:v>
                </c:pt>
                <c:pt idx="9">
                  <c:v>1.3075214420261539E-15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7A-4AF5-B357-D4549060E8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8061936"/>
        <c:axId val="458066528"/>
      </c:scatterChart>
      <c:valAx>
        <c:axId val="458061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58066528"/>
        <c:crosses val="autoZero"/>
        <c:crossBetween val="midCat"/>
      </c:valAx>
      <c:valAx>
        <c:axId val="45806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58061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q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'Misura (20)'!$C$61:$C$70</c:f>
                <c:numCache>
                  <c:formatCode>General</c:formatCode>
                  <c:ptCount val="10"/>
                  <c:pt idx="0">
                    <c:v>3.3692519998746396E-17</c:v>
                  </c:pt>
                  <c:pt idx="1">
                    <c:v>3.3519050725260621E-17</c:v>
                  </c:pt>
                  <c:pt idx="2">
                    <c:v>3.2342261493314247E-17</c:v>
                  </c:pt>
                  <c:pt idx="3">
                    <c:v>3.5053831590025179E-17</c:v>
                  </c:pt>
                  <c:pt idx="4">
                    <c:v>3.464968116507944E-17</c:v>
                  </c:pt>
                  <c:pt idx="5">
                    <c:v>5.1138128692913207E-17</c:v>
                  </c:pt>
                  <c:pt idx="6">
                    <c:v>7.2223399170611388E-17</c:v>
                  </c:pt>
                  <c:pt idx="7">
                    <c:v>6.287506467248031E-17</c:v>
                  </c:pt>
                  <c:pt idx="8">
                    <c:v>6.6639424222262812E-17</c:v>
                  </c:pt>
                  <c:pt idx="9">
                    <c:v>6.6639424222262812E-17</c:v>
                  </c:pt>
                </c:numCache>
              </c:numRef>
            </c:plus>
            <c:minus>
              <c:numRef>
                <c:f>'Misura (20)'!$C$61:$C$70</c:f>
                <c:numCache>
                  <c:formatCode>General</c:formatCode>
                  <c:ptCount val="10"/>
                  <c:pt idx="0">
                    <c:v>3.3692519998746396E-17</c:v>
                  </c:pt>
                  <c:pt idx="1">
                    <c:v>3.3519050725260621E-17</c:v>
                  </c:pt>
                  <c:pt idx="2">
                    <c:v>3.2342261493314247E-17</c:v>
                  </c:pt>
                  <c:pt idx="3">
                    <c:v>3.5053831590025179E-17</c:v>
                  </c:pt>
                  <c:pt idx="4">
                    <c:v>3.464968116507944E-17</c:v>
                  </c:pt>
                  <c:pt idx="5">
                    <c:v>5.1138128692913207E-17</c:v>
                  </c:pt>
                  <c:pt idx="6">
                    <c:v>7.2223399170611388E-17</c:v>
                  </c:pt>
                  <c:pt idx="7">
                    <c:v>6.287506467248031E-17</c:v>
                  </c:pt>
                  <c:pt idx="8">
                    <c:v>6.6639424222262812E-17</c:v>
                  </c:pt>
                  <c:pt idx="9">
                    <c:v>6.6639424222262812E-17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'Misura (20)'!$A$61:$A$70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'Misura (20)'!$B$61:$B$70</c:f>
              <c:numCache>
                <c:formatCode>0.00E+00</c:formatCode>
                <c:ptCount val="10"/>
                <c:pt idx="0">
                  <c:v>4.9091683304058624E-16</c:v>
                </c:pt>
                <c:pt idx="1">
                  <c:v>4.892889234058265E-16</c:v>
                </c:pt>
                <c:pt idx="2">
                  <c:v>4.7808058448529357E-16</c:v>
                </c:pt>
                <c:pt idx="3">
                  <c:v>5.034853898139628E-16</c:v>
                </c:pt>
                <c:pt idx="4">
                  <c:v>4.997914899318866E-16</c:v>
                </c:pt>
                <c:pt idx="5">
                  <c:v>4.3636809401271457E-16</c:v>
                </c:pt>
                <c:pt idx="6">
                  <c:v>5.5290912297907395E-16</c:v>
                </c:pt>
                <c:pt idx="7">
                  <c:v>5.0368405652796913E-16</c:v>
                </c:pt>
                <c:pt idx="8">
                  <c:v>5.2392068545203211E-16</c:v>
                </c:pt>
                <c:pt idx="9">
                  <c:v>5.2392068545203211E-16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67-4055-B462-255287BE3F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8061936"/>
        <c:axId val="458066528"/>
      </c:scatterChart>
      <c:valAx>
        <c:axId val="458061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58066528"/>
        <c:crosses val="autoZero"/>
        <c:crossBetween val="midCat"/>
      </c:valAx>
      <c:valAx>
        <c:axId val="45806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58061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q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'Misura (21)'!$C$61:$C$70</c:f>
                <c:numCache>
                  <c:formatCode>General</c:formatCode>
                  <c:ptCount val="10"/>
                  <c:pt idx="0">
                    <c:v>9.1614412662399312E-17</c:v>
                  </c:pt>
                  <c:pt idx="1">
                    <c:v>9.1614412662399028E-17</c:v>
                  </c:pt>
                  <c:pt idx="2">
                    <c:v>9.3067546317284584E-17</c:v>
                  </c:pt>
                  <c:pt idx="3">
                    <c:v>9.4570029296212834E-17</c:v>
                  </c:pt>
                  <c:pt idx="4">
                    <c:v>8.5180244510808805E-17</c:v>
                  </c:pt>
                  <c:pt idx="5">
                    <c:v>1.0715320283325586E-16</c:v>
                  </c:pt>
                  <c:pt idx="6">
                    <c:v>1.1420861798678E-16</c:v>
                  </c:pt>
                  <c:pt idx="7">
                    <c:v>1.3210463079040216E-16</c:v>
                  </c:pt>
                  <c:pt idx="8">
                    <c:v>1.3196288772738142E-16</c:v>
                  </c:pt>
                  <c:pt idx="9">
                    <c:v>1.1063929800779065E-16</c:v>
                  </c:pt>
                </c:numCache>
              </c:numRef>
            </c:plus>
            <c:minus>
              <c:numRef>
                <c:f>'Misura (21)'!$C$61:$C$70</c:f>
                <c:numCache>
                  <c:formatCode>General</c:formatCode>
                  <c:ptCount val="10"/>
                  <c:pt idx="0">
                    <c:v>9.1614412662399312E-17</c:v>
                  </c:pt>
                  <c:pt idx="1">
                    <c:v>9.1614412662399028E-17</c:v>
                  </c:pt>
                  <c:pt idx="2">
                    <c:v>9.3067546317284584E-17</c:v>
                  </c:pt>
                  <c:pt idx="3">
                    <c:v>9.4570029296212834E-17</c:v>
                  </c:pt>
                  <c:pt idx="4">
                    <c:v>8.5180244510808805E-17</c:v>
                  </c:pt>
                  <c:pt idx="5">
                    <c:v>1.0715320283325586E-16</c:v>
                  </c:pt>
                  <c:pt idx="6">
                    <c:v>1.1420861798678E-16</c:v>
                  </c:pt>
                  <c:pt idx="7">
                    <c:v>1.3210463079040216E-16</c:v>
                  </c:pt>
                  <c:pt idx="8">
                    <c:v>1.3196288772738142E-16</c:v>
                  </c:pt>
                  <c:pt idx="9">
                    <c:v>1.1063929800779065E-16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'Misura (21)'!$A$61:$A$70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'Misura (21)'!$B$61:$B$70</c:f>
              <c:numCache>
                <c:formatCode>0.00E+00</c:formatCode>
                <c:ptCount val="10"/>
                <c:pt idx="0">
                  <c:v>6.9724643431069028E-16</c:v>
                </c:pt>
                <c:pt idx="1">
                  <c:v>6.972464343106887E-16</c:v>
                </c:pt>
                <c:pt idx="2">
                  <c:v>7.057574111382353E-16</c:v>
                </c:pt>
                <c:pt idx="3">
                  <c:v>7.1447634283163939E-16</c:v>
                </c:pt>
                <c:pt idx="4">
                  <c:v>6.5860149888095211E-16</c:v>
                </c:pt>
                <c:pt idx="5">
                  <c:v>6.186836668391555E-16</c:v>
                </c:pt>
                <c:pt idx="6">
                  <c:v>6.4917700004769106E-16</c:v>
                </c:pt>
                <c:pt idx="7">
                  <c:v>7.2284647559108839E-16</c:v>
                </c:pt>
                <c:pt idx="8">
                  <c:v>7.2228207218210591E-16</c:v>
                </c:pt>
                <c:pt idx="9">
                  <c:v>6.3386048762330726E-16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92-444A-A745-8812524906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8061936"/>
        <c:axId val="458066528"/>
      </c:scatterChart>
      <c:valAx>
        <c:axId val="458061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58066528"/>
        <c:crosses val="autoZero"/>
        <c:crossBetween val="midCat"/>
      </c:valAx>
      <c:valAx>
        <c:axId val="45806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58061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q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'Misura (22)'!$C$61:$C$70</c:f>
                <c:numCache>
                  <c:formatCode>General</c:formatCode>
                  <c:ptCount val="10"/>
                  <c:pt idx="0">
                    <c:v>5.6896390817424012E-17</c:v>
                  </c:pt>
                  <c:pt idx="1">
                    <c:v>4.9769055172652467E-17</c:v>
                  </c:pt>
                  <c:pt idx="2">
                    <c:v>5.6131618655897612E-17</c:v>
                  </c:pt>
                  <c:pt idx="3">
                    <c:v>5.4669468795677018E-17</c:v>
                  </c:pt>
                  <c:pt idx="4">
                    <c:v>5.3696352218564276E-17</c:v>
                  </c:pt>
                  <c:pt idx="5">
                    <c:v>2.0875326866061722E-17</c:v>
                  </c:pt>
                  <c:pt idx="6">
                    <c:v>2.7509927408867436E-17</c:v>
                  </c:pt>
                  <c:pt idx="7">
                    <c:v>3.0278981152814581E-17</c:v>
                  </c:pt>
                  <c:pt idx="8">
                    <c:v>3.0110171961230389E-17</c:v>
                  </c:pt>
                  <c:pt idx="9">
                    <c:v>2.3919261820087253E-17</c:v>
                  </c:pt>
                </c:numCache>
              </c:numRef>
            </c:plus>
            <c:minus>
              <c:numRef>
                <c:f>'Misura (22)'!$C$61:$C$70</c:f>
                <c:numCache>
                  <c:formatCode>General</c:formatCode>
                  <c:ptCount val="10"/>
                  <c:pt idx="0">
                    <c:v>5.6896390817424012E-17</c:v>
                  </c:pt>
                  <c:pt idx="1">
                    <c:v>4.9769055172652467E-17</c:v>
                  </c:pt>
                  <c:pt idx="2">
                    <c:v>5.6131618655897612E-17</c:v>
                  </c:pt>
                  <c:pt idx="3">
                    <c:v>5.4669468795677018E-17</c:v>
                  </c:pt>
                  <c:pt idx="4">
                    <c:v>5.3696352218564276E-17</c:v>
                  </c:pt>
                  <c:pt idx="5">
                    <c:v>2.0875326866061722E-17</c:v>
                  </c:pt>
                  <c:pt idx="6">
                    <c:v>2.7509927408867436E-17</c:v>
                  </c:pt>
                  <c:pt idx="7">
                    <c:v>3.0278981152814581E-17</c:v>
                  </c:pt>
                  <c:pt idx="8">
                    <c:v>3.0110171961230389E-17</c:v>
                  </c:pt>
                  <c:pt idx="9">
                    <c:v>2.3919261820087253E-17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'Misura (22)'!$A$61:$A$70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'Misura (22)'!$B$61:$B$70</c:f>
              <c:numCache>
                <c:formatCode>0.00E+00</c:formatCode>
                <c:ptCount val="10"/>
                <c:pt idx="0">
                  <c:v>3.5058309000640999E-16</c:v>
                </c:pt>
                <c:pt idx="1">
                  <c:v>3.0796727708639406E-16</c:v>
                </c:pt>
                <c:pt idx="2">
                  <c:v>3.4604774364522447E-16</c:v>
                </c:pt>
                <c:pt idx="3">
                  <c:v>3.3735049631740724E-16</c:v>
                </c:pt>
                <c:pt idx="4">
                  <c:v>3.3154362002221585E-16</c:v>
                </c:pt>
                <c:pt idx="5">
                  <c:v>1.0228627590178955E-16</c:v>
                </c:pt>
                <c:pt idx="6">
                  <c:v>1.3836435703384345E-16</c:v>
                </c:pt>
                <c:pt idx="7">
                  <c:v>1.5300203256666587E-16</c:v>
                </c:pt>
                <c:pt idx="8">
                  <c:v>1.5211603531236761E-16</c:v>
                </c:pt>
                <c:pt idx="9">
                  <c:v>1.1903080708896874E-16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70-40D8-B65C-17302AF6AA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8061936"/>
        <c:axId val="458066528"/>
      </c:scatterChart>
      <c:valAx>
        <c:axId val="458061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58066528"/>
        <c:crosses val="autoZero"/>
        <c:crossBetween val="midCat"/>
      </c:valAx>
      <c:valAx>
        <c:axId val="45806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58061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19049</xdr:colOff>
      <xdr:row>29</xdr:row>
      <xdr:rowOff>28574</xdr:rowOff>
    </xdr:from>
    <xdr:to>
      <xdr:col>26</xdr:col>
      <xdr:colOff>276224</xdr:colOff>
      <xdr:row>44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2524D6-1673-4F7B-A073-AF2257EB34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19049</xdr:colOff>
      <xdr:row>29</xdr:row>
      <xdr:rowOff>28574</xdr:rowOff>
    </xdr:from>
    <xdr:to>
      <xdr:col>26</xdr:col>
      <xdr:colOff>276224</xdr:colOff>
      <xdr:row>44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317A7E5-6403-45B7-A574-5AB9896D34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19049</xdr:colOff>
      <xdr:row>29</xdr:row>
      <xdr:rowOff>28574</xdr:rowOff>
    </xdr:from>
    <xdr:to>
      <xdr:col>26</xdr:col>
      <xdr:colOff>276224</xdr:colOff>
      <xdr:row>44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924274-EE7B-4144-B936-0A483BA7D9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19049</xdr:colOff>
      <xdr:row>29</xdr:row>
      <xdr:rowOff>28574</xdr:rowOff>
    </xdr:from>
    <xdr:to>
      <xdr:col>26</xdr:col>
      <xdr:colOff>276224</xdr:colOff>
      <xdr:row>44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0ED361-3A84-450A-8EBA-A444912454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304799</xdr:colOff>
      <xdr:row>20</xdr:row>
      <xdr:rowOff>95249</xdr:rowOff>
    </xdr:from>
    <xdr:to>
      <xdr:col>25</xdr:col>
      <xdr:colOff>561974</xdr:colOff>
      <xdr:row>35</xdr:row>
      <xdr:rowOff>85724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AD4557-A8CF-48D7-A04E-79AC41C288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304799</xdr:colOff>
      <xdr:row>20</xdr:row>
      <xdr:rowOff>95249</xdr:rowOff>
    </xdr:from>
    <xdr:to>
      <xdr:col>25</xdr:col>
      <xdr:colOff>561974</xdr:colOff>
      <xdr:row>35</xdr:row>
      <xdr:rowOff>85724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AF4013-1CC0-4D60-BB02-4A201D9050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304799</xdr:colOff>
      <xdr:row>20</xdr:row>
      <xdr:rowOff>95249</xdr:rowOff>
    </xdr:from>
    <xdr:to>
      <xdr:col>25</xdr:col>
      <xdr:colOff>561974</xdr:colOff>
      <xdr:row>35</xdr:row>
      <xdr:rowOff>85724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3D173B-6DEA-4285-9D35-A43C740FC6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304799</xdr:colOff>
      <xdr:row>20</xdr:row>
      <xdr:rowOff>95249</xdr:rowOff>
    </xdr:from>
    <xdr:to>
      <xdr:col>25</xdr:col>
      <xdr:colOff>561974</xdr:colOff>
      <xdr:row>35</xdr:row>
      <xdr:rowOff>85724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81EACA-C900-4790-B0FC-52E0A74819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304799</xdr:colOff>
      <xdr:row>20</xdr:row>
      <xdr:rowOff>95249</xdr:rowOff>
    </xdr:from>
    <xdr:to>
      <xdr:col>25</xdr:col>
      <xdr:colOff>561974</xdr:colOff>
      <xdr:row>35</xdr:row>
      <xdr:rowOff>85724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CD944E-735C-4C1D-A491-7106C44B0E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304799</xdr:colOff>
      <xdr:row>20</xdr:row>
      <xdr:rowOff>95249</xdr:rowOff>
    </xdr:from>
    <xdr:to>
      <xdr:col>25</xdr:col>
      <xdr:colOff>561974</xdr:colOff>
      <xdr:row>35</xdr:row>
      <xdr:rowOff>85724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350A1F5-27FF-431F-829D-F9870038E5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304799</xdr:colOff>
      <xdr:row>20</xdr:row>
      <xdr:rowOff>95249</xdr:rowOff>
    </xdr:from>
    <xdr:to>
      <xdr:col>25</xdr:col>
      <xdr:colOff>561974</xdr:colOff>
      <xdr:row>35</xdr:row>
      <xdr:rowOff>85724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D4ACFC-B94F-4C8B-86ED-E08045EB8B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304799</xdr:colOff>
      <xdr:row>20</xdr:row>
      <xdr:rowOff>95249</xdr:rowOff>
    </xdr:from>
    <xdr:to>
      <xdr:col>25</xdr:col>
      <xdr:colOff>561974</xdr:colOff>
      <xdr:row>35</xdr:row>
      <xdr:rowOff>85724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4E3640-45CE-4D7A-8E83-34655F700E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304799</xdr:colOff>
      <xdr:row>20</xdr:row>
      <xdr:rowOff>95249</xdr:rowOff>
    </xdr:from>
    <xdr:to>
      <xdr:col>25</xdr:col>
      <xdr:colOff>561974</xdr:colOff>
      <xdr:row>35</xdr:row>
      <xdr:rowOff>85724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C0F1393-FFBD-497D-9C39-0028AFB0C0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304799</xdr:colOff>
      <xdr:row>20</xdr:row>
      <xdr:rowOff>95249</xdr:rowOff>
    </xdr:from>
    <xdr:to>
      <xdr:col>25</xdr:col>
      <xdr:colOff>561974</xdr:colOff>
      <xdr:row>35</xdr:row>
      <xdr:rowOff>85724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73F0BE-D48A-43F6-A477-80CDA85E99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304799</xdr:colOff>
      <xdr:row>20</xdr:row>
      <xdr:rowOff>95249</xdr:rowOff>
    </xdr:from>
    <xdr:to>
      <xdr:col>25</xdr:col>
      <xdr:colOff>561974</xdr:colOff>
      <xdr:row>35</xdr:row>
      <xdr:rowOff>85724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391C04-EB2A-43A9-A4D2-0FC5EA63A9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304799</xdr:colOff>
      <xdr:row>20</xdr:row>
      <xdr:rowOff>95249</xdr:rowOff>
    </xdr:from>
    <xdr:to>
      <xdr:col>25</xdr:col>
      <xdr:colOff>561974</xdr:colOff>
      <xdr:row>35</xdr:row>
      <xdr:rowOff>85724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DC0BA9-4AE4-4508-83E5-E685A4BF14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304799</xdr:colOff>
      <xdr:row>20</xdr:row>
      <xdr:rowOff>95249</xdr:rowOff>
    </xdr:from>
    <xdr:to>
      <xdr:col>25</xdr:col>
      <xdr:colOff>561974</xdr:colOff>
      <xdr:row>35</xdr:row>
      <xdr:rowOff>85724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4F105C-04D6-408D-8446-63A2FDD999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304799</xdr:colOff>
      <xdr:row>20</xdr:row>
      <xdr:rowOff>95249</xdr:rowOff>
    </xdr:from>
    <xdr:to>
      <xdr:col>25</xdr:col>
      <xdr:colOff>561974</xdr:colOff>
      <xdr:row>35</xdr:row>
      <xdr:rowOff>85724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2B9685-F6C6-41E5-9D4E-50D7AFE674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304799</xdr:colOff>
      <xdr:row>20</xdr:row>
      <xdr:rowOff>95249</xdr:rowOff>
    </xdr:from>
    <xdr:to>
      <xdr:col>25</xdr:col>
      <xdr:colOff>561974</xdr:colOff>
      <xdr:row>35</xdr:row>
      <xdr:rowOff>85724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DF0DF8-AB9E-40F6-BD57-3E794E17A7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304799</xdr:colOff>
      <xdr:row>20</xdr:row>
      <xdr:rowOff>95249</xdr:rowOff>
    </xdr:from>
    <xdr:to>
      <xdr:col>25</xdr:col>
      <xdr:colOff>561974</xdr:colOff>
      <xdr:row>35</xdr:row>
      <xdr:rowOff>85724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68EFBD3-21AC-4B08-BF62-239E98812A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304799</xdr:colOff>
      <xdr:row>20</xdr:row>
      <xdr:rowOff>95249</xdr:rowOff>
    </xdr:from>
    <xdr:to>
      <xdr:col>25</xdr:col>
      <xdr:colOff>561974</xdr:colOff>
      <xdr:row>35</xdr:row>
      <xdr:rowOff>85724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7DB0A0-1C44-4925-9596-7186DC2E13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304799</xdr:colOff>
      <xdr:row>20</xdr:row>
      <xdr:rowOff>95249</xdr:rowOff>
    </xdr:from>
    <xdr:to>
      <xdr:col>25</xdr:col>
      <xdr:colOff>561974</xdr:colOff>
      <xdr:row>35</xdr:row>
      <xdr:rowOff>85724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F9E915-3F76-4E2B-A981-31825C1B59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304799</xdr:colOff>
      <xdr:row>20</xdr:row>
      <xdr:rowOff>95249</xdr:rowOff>
    </xdr:from>
    <xdr:to>
      <xdr:col>25</xdr:col>
      <xdr:colOff>561974</xdr:colOff>
      <xdr:row>35</xdr:row>
      <xdr:rowOff>85724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E901D9-6F53-4550-87D1-9CCE35C820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nalysis%20-%20Copi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i"/>
      <sheetName val="Misura prova"/>
      <sheetName val="Misura (1)"/>
      <sheetName val="Misura (2)"/>
      <sheetName val="Misura (3)"/>
      <sheetName val="Misura (4)"/>
      <sheetName val="Misura (5)"/>
      <sheetName val="Misura (6)"/>
      <sheetName val="Misura (7)"/>
      <sheetName val="Misura (8)"/>
      <sheetName val="Misura (9)"/>
      <sheetName val="Misura (10)"/>
      <sheetName val="Misura (11)"/>
      <sheetName val="Misura (12)"/>
      <sheetName val="Misura (13)"/>
      <sheetName val="Misura (14)"/>
      <sheetName val="Misura (15)"/>
      <sheetName val="Misura (16)"/>
      <sheetName val="Misura (17)"/>
      <sheetName val="Misura (18)"/>
      <sheetName val="Misura (19)"/>
      <sheetName val="Misura (20)"/>
      <sheetName val="Misura (21)"/>
      <sheetName val="Misura (22)"/>
      <sheetName val="Sheet21"/>
    </sheetNames>
    <sheetDataSet>
      <sheetData sheetId="0">
        <row r="1">
          <cell r="A1" t="str">
            <v>Costanti varie</v>
          </cell>
        </row>
        <row r="5">
          <cell r="A5" t="str">
            <v>d</v>
          </cell>
          <cell r="C5">
            <v>1.0000000000000001E-5</v>
          </cell>
        </row>
        <row r="6">
          <cell r="A6" t="str">
            <v>g</v>
          </cell>
          <cell r="B6">
            <v>9.8059999999999992</v>
          </cell>
          <cell r="C6">
            <v>0</v>
          </cell>
        </row>
        <row r="7">
          <cell r="A7" t="str">
            <v>pressione</v>
          </cell>
          <cell r="B7">
            <v>101325</v>
          </cell>
          <cell r="C7">
            <v>0</v>
          </cell>
        </row>
        <row r="8">
          <cell r="A8" t="str">
            <v>densità aria</v>
          </cell>
          <cell r="C8">
            <v>0</v>
          </cell>
        </row>
        <row r="9">
          <cell r="A9" t="str">
            <v>densità olio</v>
          </cell>
          <cell r="C9">
            <v>0</v>
          </cell>
        </row>
        <row r="10">
          <cell r="A10" t="str">
            <v>cst corr vis</v>
          </cell>
          <cell r="B10">
            <v>8.2000000000000007E-3</v>
          </cell>
          <cell r="C10">
            <v>0</v>
          </cell>
        </row>
        <row r="11">
          <cell r="A11" t="str">
            <v>e</v>
          </cell>
          <cell r="B11">
            <v>1.6021766200000001E-19</v>
          </cell>
          <cell r="C11">
            <v>0</v>
          </cell>
        </row>
        <row r="12">
          <cell r="A12" t="str">
            <v>deltax</v>
          </cell>
          <cell r="B12">
            <v>5.0000000000000001E-4</v>
          </cell>
          <cell r="C12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opLeftCell="A3" workbookViewId="0">
      <selection activeCell="A15" sqref="A15"/>
    </sheetView>
  </sheetViews>
  <sheetFormatPr defaultRowHeight="15" x14ac:dyDescent="0.25"/>
  <sheetData>
    <row r="1" spans="1:9" x14ac:dyDescent="0.25">
      <c r="A1" s="187" t="s">
        <v>0</v>
      </c>
      <c r="B1" s="187"/>
      <c r="C1" s="187"/>
    </row>
    <row r="2" spans="1:9" x14ac:dyDescent="0.25">
      <c r="A2" s="187"/>
      <c r="B2" s="187"/>
      <c r="C2" s="187"/>
    </row>
    <row r="4" spans="1:9" x14ac:dyDescent="0.25">
      <c r="B4" t="s">
        <v>1</v>
      </c>
      <c r="C4" t="s">
        <v>2</v>
      </c>
    </row>
    <row r="5" spans="1:9" x14ac:dyDescent="0.25">
      <c r="A5" t="s">
        <v>3</v>
      </c>
      <c r="B5">
        <f>AVERAGE(G8:G14)</f>
        <v>7.4300000000000008E-3</v>
      </c>
      <c r="C5" s="1">
        <f>MAX(G15:G16)</f>
        <v>1.0000000000000001E-5</v>
      </c>
    </row>
    <row r="6" spans="1:9" x14ac:dyDescent="0.25">
      <c r="A6" t="s">
        <v>4</v>
      </c>
      <c r="B6">
        <v>9.8059999999999992</v>
      </c>
      <c r="C6">
        <v>0</v>
      </c>
      <c r="F6" s="188" t="s">
        <v>5</v>
      </c>
      <c r="G6" s="188"/>
    </row>
    <row r="7" spans="1:9" x14ac:dyDescent="0.25">
      <c r="A7" t="s">
        <v>6</v>
      </c>
      <c r="B7">
        <v>101325</v>
      </c>
      <c r="C7">
        <v>0</v>
      </c>
      <c r="F7" t="s">
        <v>7</v>
      </c>
      <c r="G7" t="s">
        <v>3</v>
      </c>
      <c r="H7" t="s">
        <v>8</v>
      </c>
      <c r="I7" t="s">
        <v>9</v>
      </c>
    </row>
    <row r="8" spans="1:9" x14ac:dyDescent="0.25">
      <c r="A8" t="s">
        <v>10</v>
      </c>
      <c r="B8">
        <v>860</v>
      </c>
      <c r="C8">
        <v>0</v>
      </c>
      <c r="F8">
        <v>1</v>
      </c>
      <c r="G8">
        <f>I8-H8</f>
        <v>7.43E-3</v>
      </c>
      <c r="H8" s="1">
        <v>0</v>
      </c>
      <c r="I8" s="1">
        <v>7.43E-3</v>
      </c>
    </row>
    <row r="9" spans="1:9" x14ac:dyDescent="0.25">
      <c r="A9" t="s">
        <v>11</v>
      </c>
      <c r="B9">
        <v>1293</v>
      </c>
      <c r="C9">
        <v>0</v>
      </c>
      <c r="F9">
        <v>2</v>
      </c>
      <c r="G9">
        <f t="shared" ref="G9:G14" si="0">I9-H9</f>
        <v>7.43E-3</v>
      </c>
      <c r="H9" s="1">
        <v>0</v>
      </c>
      <c r="I9" s="1">
        <v>7.43E-3</v>
      </c>
    </row>
    <row r="10" spans="1:9" x14ac:dyDescent="0.25">
      <c r="A10" t="s">
        <v>12</v>
      </c>
      <c r="B10" s="1">
        <v>8.2000000000000007E-3</v>
      </c>
      <c r="C10">
        <v>0</v>
      </c>
      <c r="F10">
        <v>3</v>
      </c>
      <c r="G10">
        <f t="shared" si="0"/>
        <v>7.4200000000000004E-3</v>
      </c>
      <c r="H10" s="1">
        <v>0</v>
      </c>
      <c r="I10" s="1">
        <v>7.4200000000000004E-3</v>
      </c>
    </row>
    <row r="11" spans="1:9" x14ac:dyDescent="0.25">
      <c r="A11" t="s">
        <v>13</v>
      </c>
      <c r="B11" s="2">
        <v>1.6021766200000001E-19</v>
      </c>
      <c r="C11">
        <v>0</v>
      </c>
      <c r="F11">
        <v>4</v>
      </c>
      <c r="G11">
        <f t="shared" si="0"/>
        <v>7.4200000000000004E-3</v>
      </c>
      <c r="H11" s="1">
        <v>0</v>
      </c>
      <c r="I11" s="1">
        <v>7.4200000000000004E-3</v>
      </c>
    </row>
    <row r="12" spans="1:9" x14ac:dyDescent="0.25">
      <c r="A12" t="s">
        <v>14</v>
      </c>
      <c r="B12" s="1">
        <v>5.0000000000000001E-4</v>
      </c>
      <c r="C12">
        <v>0</v>
      </c>
      <c r="F12">
        <v>5</v>
      </c>
      <c r="G12">
        <f t="shared" si="0"/>
        <v>7.43E-3</v>
      </c>
      <c r="H12" s="1">
        <v>0</v>
      </c>
      <c r="I12" s="1">
        <v>7.43E-3</v>
      </c>
    </row>
    <row r="13" spans="1:9" x14ac:dyDescent="0.25">
      <c r="A13" t="s">
        <v>33</v>
      </c>
      <c r="B13">
        <v>0.25</v>
      </c>
      <c r="F13">
        <v>6</v>
      </c>
      <c r="G13">
        <f t="shared" si="0"/>
        <v>7.4400000000000004E-3</v>
      </c>
      <c r="H13" s="1">
        <v>0</v>
      </c>
      <c r="I13" s="1">
        <v>7.4400000000000004E-3</v>
      </c>
    </row>
    <row r="14" spans="1:9" x14ac:dyDescent="0.25">
      <c r="A14" t="s">
        <v>46</v>
      </c>
      <c r="B14">
        <v>0.4</v>
      </c>
      <c r="F14">
        <v>7</v>
      </c>
      <c r="G14">
        <f t="shared" si="0"/>
        <v>7.4400000000000004E-3</v>
      </c>
      <c r="H14" s="1">
        <v>0</v>
      </c>
      <c r="I14" s="1">
        <v>7.4400000000000004E-3</v>
      </c>
    </row>
    <row r="15" spans="1:9" x14ac:dyDescent="0.25">
      <c r="F15" t="s">
        <v>15</v>
      </c>
      <c r="G15" s="1">
        <v>1.0000000000000001E-5</v>
      </c>
    </row>
    <row r="16" spans="1:9" x14ac:dyDescent="0.25">
      <c r="F16" t="s">
        <v>16</v>
      </c>
      <c r="G16">
        <f>_xlfn.STDEV.S(G8:G14)/SQRT(7)</f>
        <v>3.0860669992418463E-6</v>
      </c>
    </row>
  </sheetData>
  <mergeCells count="2">
    <mergeCell ref="A1:C2"/>
    <mergeCell ref="F6:G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topLeftCell="F16" workbookViewId="0">
      <selection activeCell="H54" sqref="H54"/>
    </sheetView>
  </sheetViews>
  <sheetFormatPr defaultRowHeight="15" x14ac:dyDescent="0.25"/>
  <cols>
    <col min="1" max="1" width="13.140625" bestFit="1" customWidth="1"/>
    <col min="3" max="5" width="12" bestFit="1" customWidth="1"/>
    <col min="6" max="7" width="12.140625" bestFit="1" customWidth="1"/>
    <col min="8" max="9" width="12" bestFit="1" customWidth="1"/>
    <col min="11" max="11" width="12" bestFit="1" customWidth="1"/>
  </cols>
  <sheetData>
    <row r="1" spans="1:5" x14ac:dyDescent="0.25">
      <c r="A1" s="187" t="str">
        <f>[1]Dati!A1</f>
        <v>Costanti varie</v>
      </c>
      <c r="B1" s="187"/>
      <c r="C1" s="187"/>
    </row>
    <row r="2" spans="1:5" x14ac:dyDescent="0.25">
      <c r="A2" s="187"/>
      <c r="B2" s="187"/>
      <c r="C2" s="187"/>
    </row>
    <row r="4" spans="1:5" x14ac:dyDescent="0.25">
      <c r="B4" t="s">
        <v>1</v>
      </c>
      <c r="C4" t="s">
        <v>2</v>
      </c>
    </row>
    <row r="5" spans="1:5" x14ac:dyDescent="0.25">
      <c r="A5" t="str">
        <f>[1]Dati!A5</f>
        <v>d</v>
      </c>
      <c r="B5" s="1">
        <v>7.6</v>
      </c>
      <c r="C5">
        <f>[1]Dati!C5</f>
        <v>1.0000000000000001E-5</v>
      </c>
    </row>
    <row r="6" spans="1:5" x14ac:dyDescent="0.25">
      <c r="A6" t="str">
        <f>[1]Dati!A6</f>
        <v>g</v>
      </c>
      <c r="B6">
        <f>[1]Dati!B6</f>
        <v>9.8059999999999992</v>
      </c>
      <c r="C6">
        <f>[1]Dati!C6</f>
        <v>0</v>
      </c>
    </row>
    <row r="7" spans="1:5" x14ac:dyDescent="0.25">
      <c r="A7" t="str">
        <f>[1]Dati!A7</f>
        <v>pressione</v>
      </c>
      <c r="B7">
        <f>[1]Dati!B7</f>
        <v>101325</v>
      </c>
      <c r="C7">
        <f>[1]Dati!C7</f>
        <v>0</v>
      </c>
    </row>
    <row r="8" spans="1:5" x14ac:dyDescent="0.25">
      <c r="A8" t="str">
        <f>[1]Dati!A8</f>
        <v>densità aria</v>
      </c>
      <c r="B8">
        <v>0</v>
      </c>
      <c r="C8">
        <f>[1]Dati!C8</f>
        <v>0</v>
      </c>
    </row>
    <row r="9" spans="1:5" x14ac:dyDescent="0.25">
      <c r="A9" t="str">
        <f>[1]Dati!A9</f>
        <v>densità olio</v>
      </c>
      <c r="B9">
        <v>858.7</v>
      </c>
      <c r="C9">
        <f>[1]Dati!C9</f>
        <v>0</v>
      </c>
    </row>
    <row r="10" spans="1:5" x14ac:dyDescent="0.25">
      <c r="A10" t="str">
        <f>[1]Dati!A10</f>
        <v>cst corr vis</v>
      </c>
      <c r="B10">
        <f>[1]Dati!B10</f>
        <v>8.2000000000000007E-3</v>
      </c>
      <c r="C10">
        <f>[1]Dati!C10</f>
        <v>0</v>
      </c>
    </row>
    <row r="11" spans="1:5" x14ac:dyDescent="0.25">
      <c r="A11" t="str">
        <f>[1]Dati!A11</f>
        <v>e</v>
      </c>
      <c r="B11">
        <f>[1]Dati!B11</f>
        <v>1.6021766200000001E-19</v>
      </c>
      <c r="C11">
        <f>[1]Dati!C11</f>
        <v>0</v>
      </c>
    </row>
    <row r="12" spans="1:5" x14ac:dyDescent="0.25">
      <c r="A12" t="str">
        <f>[1]Dati!A12</f>
        <v>deltax</v>
      </c>
      <c r="B12">
        <f>[1]Dati!B12</f>
        <v>5.0000000000000001E-4</v>
      </c>
      <c r="C12">
        <f>[1]Dati!C12</f>
        <v>0</v>
      </c>
    </row>
    <row r="13" spans="1:5" x14ac:dyDescent="0.25">
      <c r="A13" t="s">
        <v>30</v>
      </c>
      <c r="B13">
        <f>Dati!B13</f>
        <v>0.25</v>
      </c>
    </row>
    <row r="14" spans="1:5" x14ac:dyDescent="0.25">
      <c r="A14" s="187" t="s">
        <v>17</v>
      </c>
      <c r="B14" s="187"/>
      <c r="C14" s="187"/>
      <c r="D14" s="3"/>
    </row>
    <row r="15" spans="1:5" x14ac:dyDescent="0.25">
      <c r="A15" s="187"/>
      <c r="B15" s="187"/>
      <c r="C15" s="187"/>
      <c r="D15" s="3"/>
    </row>
    <row r="16" spans="1:5" x14ac:dyDescent="0.25">
      <c r="A16" t="s">
        <v>18</v>
      </c>
      <c r="B16">
        <v>300</v>
      </c>
      <c r="C16">
        <f>B16/100</f>
        <v>3</v>
      </c>
      <c r="D16" t="s">
        <v>19</v>
      </c>
      <c r="E16">
        <f>(1.8+(B18-15)*0.004765)*0.00001</f>
        <v>1.8333550000000003E-5</v>
      </c>
    </row>
    <row r="17" spans="1:10" x14ac:dyDescent="0.25">
      <c r="A17" t="s">
        <v>20</v>
      </c>
      <c r="E17" s="4"/>
    </row>
    <row r="18" spans="1:10" x14ac:dyDescent="0.25">
      <c r="A18" t="s">
        <v>21</v>
      </c>
      <c r="B18">
        <v>22</v>
      </c>
      <c r="C18">
        <v>0.5</v>
      </c>
      <c r="D18" t="s">
        <v>22</v>
      </c>
      <c r="E18" s="1">
        <f>B16/B5</f>
        <v>39.473684210526315</v>
      </c>
      <c r="F18">
        <f>SQRT((C16/B5)^2+(B16*C5/B5^2)^2)</f>
        <v>0.39473684552230642</v>
      </c>
      <c r="G18" s="11"/>
    </row>
    <row r="21" spans="1:10" x14ac:dyDescent="0.25">
      <c r="B21" t="s">
        <v>23</v>
      </c>
      <c r="C21" t="s">
        <v>27</v>
      </c>
      <c r="D21" t="s">
        <v>24</v>
      </c>
      <c r="E21" t="s">
        <v>29</v>
      </c>
      <c r="F21" t="s">
        <v>25</v>
      </c>
      <c r="G21" t="s">
        <v>26</v>
      </c>
      <c r="H21" t="s">
        <v>28</v>
      </c>
      <c r="I21" t="s">
        <v>31</v>
      </c>
      <c r="J21" t="s">
        <v>32</v>
      </c>
    </row>
    <row r="22" spans="1:10" x14ac:dyDescent="0.25">
      <c r="A22">
        <v>1</v>
      </c>
      <c r="B22">
        <v>15.2</v>
      </c>
      <c r="C22">
        <f>B22</f>
        <v>15.2</v>
      </c>
      <c r="D22" s="1">
        <f>B12/B22</f>
        <v>3.2894736842105262E-5</v>
      </c>
      <c r="E22" s="1">
        <f>SQRT(2)*D22*$B$13/C22</f>
        <v>7.6513458836840755E-7</v>
      </c>
      <c r="F22" s="5">
        <f>(($B$10/(2*$B$7))^2+9*$E$16*D22/(2*$B$6*($B$9-$B$8)))^(1/2)-$B$10/(2*$B$7)</f>
        <v>5.2868574672021356E-7</v>
      </c>
      <c r="G22">
        <f>(($B$10/(2*$B$7))^2+9*$E$16*D22/(2*$B$6*($B$9-$B$8)))^(-1/2)*(9*$E$16)/(4*$B$6*$B$9)</f>
        <v>8.607346732763926E-3</v>
      </c>
      <c r="H22">
        <f>(($B$10/(2*$B$7))^2+9*$E$16*D22/(2*$B$6*($B$9-$B$8)))^(-1/2)*((9*D22)/(4*$B$6*$B$9))*0.00000004765</f>
        <v>7.3588856117860884E-10</v>
      </c>
      <c r="I22">
        <f>SQRT(G22^2*E22^2+H22^2*$C$18^2+$F$28^2)</f>
        <v>1.0440017662720302E-8</v>
      </c>
      <c r="J22" s="1">
        <f>I22/F22</f>
        <v>1.9747113909324428E-2</v>
      </c>
    </row>
    <row r="23" spans="1:10" x14ac:dyDescent="0.25">
      <c r="A23">
        <v>2</v>
      </c>
      <c r="B23">
        <v>30.8</v>
      </c>
      <c r="C23">
        <f>B23-B22</f>
        <v>15.600000000000001</v>
      </c>
      <c r="D23" s="1">
        <f>$B$12/(B23-B22)</f>
        <v>3.2051282051282051E-5</v>
      </c>
      <c r="E23" s="1">
        <f t="shared" ref="E23:E25" si="0">SQRT(2)*D23*$B$13/C23</f>
        <v>7.2639996423667352E-7</v>
      </c>
      <c r="F23" s="5">
        <f>(($B$10/(2*$B$7))^2+9*E16*D23/(2*$B$6*($B$9-$B$8)))^(1/2)-$B$10/(2*$B$7)</f>
        <v>5.2137893602708232E-7</v>
      </c>
      <c r="G23">
        <f t="shared" ref="G23:G26" si="1">(($B$10/(2*$B$7))^2+9*$E$16*D23/(2*$B$6*($B$9-$B$8)))^(-1/2)*(9*$E$16)/(4*$B$6*$B$9)</f>
        <v>8.7192859696288375E-3</v>
      </c>
      <c r="H23">
        <f t="shared" ref="H23:H26" si="2">(($B$10/(2*$B$7))^2+9*$E$16*D23/(2*$B$6*($B$9-$B$8)))^(-1/2)*((9*D23)/(4*$B$6*$B$9))*0.00000004765</f>
        <v>7.2634452161511861E-10</v>
      </c>
      <c r="I23">
        <f t="shared" ref="I23:I26" si="3">SQRT(G23^2*E23^2+H23^2*$C$18^2+$F$28^2)</f>
        <v>1.0282685222098369E-8</v>
      </c>
      <c r="J23" s="1">
        <f t="shared" ref="J23:J26" si="4">I23/F23</f>
        <v>1.9722095603732347E-2</v>
      </c>
    </row>
    <row r="24" spans="1:10" x14ac:dyDescent="0.25">
      <c r="A24">
        <v>3</v>
      </c>
      <c r="B24">
        <v>45.7</v>
      </c>
      <c r="C24">
        <f t="shared" ref="C24:C26" si="5">B24-B23</f>
        <v>14.900000000000002</v>
      </c>
      <c r="D24" s="1">
        <f>$B$12/(B24-B23)</f>
        <v>3.3557046979865769E-5</v>
      </c>
      <c r="E24" s="1">
        <f t="shared" si="0"/>
        <v>7.9625555288787372E-7</v>
      </c>
      <c r="F24" s="5">
        <f>(($B$10/(2*$B$7))^2+9*E16*D24/(2*$B$6*($B$9-$B$8)))^(1/2)-$B$10/(2*$B$7)</f>
        <v>5.343582122273456E-7</v>
      </c>
      <c r="G24">
        <f t="shared" si="1"/>
        <v>8.5224076179949582E-3</v>
      </c>
      <c r="H24">
        <f t="shared" si="2"/>
        <v>7.4329699287957716E-10</v>
      </c>
      <c r="I24">
        <f t="shared" si="3"/>
        <v>1.0567602312323305E-8</v>
      </c>
      <c r="J24" s="1">
        <f t="shared" si="4"/>
        <v>1.9776251343223038E-2</v>
      </c>
    </row>
    <row r="25" spans="1:10" x14ac:dyDescent="0.25">
      <c r="A25">
        <v>4</v>
      </c>
      <c r="B25">
        <v>60.6</v>
      </c>
      <c r="C25">
        <f t="shared" si="5"/>
        <v>14.899999999999999</v>
      </c>
      <c r="D25" s="1">
        <f>$B$12/(B25-B24)</f>
        <v>3.3557046979865775E-5</v>
      </c>
      <c r="E25" s="1">
        <f t="shared" si="0"/>
        <v>7.9625555288787404E-7</v>
      </c>
      <c r="F25" s="5">
        <f>(($B$10/(2*$B$7))^2+9*E16*D25/(2*$B$6*($B$9-$B$8)))^(1/2)-$B$10/(2*$B$7)</f>
        <v>5.3435821222734571E-7</v>
      </c>
      <c r="G25">
        <f t="shared" si="1"/>
        <v>8.5224076179949565E-3</v>
      </c>
      <c r="H25">
        <f t="shared" si="2"/>
        <v>7.4329699287957705E-10</v>
      </c>
      <c r="I25">
        <f t="shared" si="3"/>
        <v>1.0567602312323305E-8</v>
      </c>
      <c r="J25" s="1">
        <f t="shared" si="4"/>
        <v>1.9776251343223035E-2</v>
      </c>
    </row>
    <row r="26" spans="1:10" x14ac:dyDescent="0.25">
      <c r="A26">
        <v>5</v>
      </c>
      <c r="B26">
        <v>76.5</v>
      </c>
      <c r="C26">
        <f t="shared" si="5"/>
        <v>15.899999999999999</v>
      </c>
      <c r="D26" s="1">
        <f>$B$12/(B26-B25)</f>
        <v>3.144654088050315E-5</v>
      </c>
      <c r="E26" s="1">
        <f>SQRT(2)*D26*$B$13/C26</f>
        <v>6.9924724218439512E-7</v>
      </c>
      <c r="F26" s="5">
        <f>(($B$10/(2*$B$7))^2+9*E16*D26/(2*$B$6*($B$9-$B$8)))^(1/2)-$B$10/(2*$B$7)</f>
        <v>5.1608104663133366E-7</v>
      </c>
      <c r="G26">
        <f t="shared" si="1"/>
        <v>8.8022870224279213E-3</v>
      </c>
      <c r="H26">
        <f t="shared" si="2"/>
        <v>7.1942370461297702E-10</v>
      </c>
      <c r="I26">
        <f t="shared" si="3"/>
        <v>1.0173456328911264E-8</v>
      </c>
      <c r="J26" s="1">
        <f t="shared" si="4"/>
        <v>1.9712904388404614E-2</v>
      </c>
    </row>
    <row r="27" spans="1:10" x14ac:dyDescent="0.25">
      <c r="A27" s="7" t="s">
        <v>34</v>
      </c>
      <c r="B27" s="7"/>
      <c r="C27" s="7">
        <f>AVERAGE(C22:C26)</f>
        <v>15.3</v>
      </c>
      <c r="D27" s="7">
        <f>AVERAGE(D22:D26)</f>
        <v>3.2701330746724399E-5</v>
      </c>
      <c r="E27" s="8">
        <f>SQRT(2)*D27*$B$13/C27</f>
        <v>7.5566446813179641E-7</v>
      </c>
      <c r="F27" s="9">
        <f>AVERAGE(F22:F26)</f>
        <v>5.2697243076666417E-7</v>
      </c>
      <c r="G27" s="7">
        <f t="shared" ref="G27" si="6">(($B$10/(2*$B$7))^2+9*$E$16*D27/(2*$B$6*($B$9-$B$8)))^(-1/2)*(9*$E$16)/(4*$B$6*$B$9)</f>
        <v>8.6326334735427734E-3</v>
      </c>
      <c r="H27" s="7">
        <f t="shared" ref="H27" si="7">(($B$10/(2*$B$7))^2+9*$E$16*D27/(2*$B$6*($B$9-$B$8)))^(-1/2)*((9*D27)/(4*$B$6*$B$9))*0.00000004765</f>
        <v>7.3371106010344101E-10</v>
      </c>
      <c r="I27" s="7">
        <f t="shared" ref="I27" si="8">SQRT(G27^2*E27^2+H27^2*$C$18^2+$F$28^2)</f>
        <v>1.040072598621311E-8</v>
      </c>
      <c r="J27" s="8">
        <f t="shared" ref="J27" si="9">I27/F27</f>
        <v>1.9736755433451512E-2</v>
      </c>
    </row>
    <row r="28" spans="1:10" x14ac:dyDescent="0.25">
      <c r="A28" t="s">
        <v>35</v>
      </c>
      <c r="C28" s="6">
        <f>_xlfn.STDEV.S(C22:C26)</f>
        <v>0.44158804331639195</v>
      </c>
      <c r="D28" s="1">
        <f>_xlfn.STDEV.S(D22:D26)</f>
        <v>9.3527634631049435E-7</v>
      </c>
      <c r="E28" s="8">
        <f>SQRT(2)*D28*$B$13/C28</f>
        <v>7.4882037316133461E-7</v>
      </c>
      <c r="F28" s="1">
        <f>_xlfn.STDEV.S(F22:F26)</f>
        <v>8.0923485298094775E-9</v>
      </c>
    </row>
    <row r="30" spans="1:10" x14ac:dyDescent="0.25">
      <c r="A30" t="s">
        <v>31</v>
      </c>
      <c r="C30">
        <f t="array" ref="C30:G31">TRANSPOSE(A32:B36)</f>
        <v>1.0440017662720302E-8</v>
      </c>
      <c r="D30">
        <v>1.0282685222098369E-8</v>
      </c>
      <c r="E30">
        <v>1.0567602312323305E-8</v>
      </c>
      <c r="F30">
        <v>1.0567602312323305E-8</v>
      </c>
      <c r="G30">
        <v>1.0173456328911264E-8</v>
      </c>
    </row>
    <row r="31" spans="1:10" x14ac:dyDescent="0.25">
      <c r="B31" t="s">
        <v>25</v>
      </c>
      <c r="C31">
        <v>5.2868574672021356E-7</v>
      </c>
      <c r="D31">
        <v>5.2137893602708232E-7</v>
      </c>
      <c r="E31">
        <v>5.343582122273456E-7</v>
      </c>
      <c r="F31">
        <v>5.3435821222734571E-7</v>
      </c>
      <c r="G31">
        <v>5.1608104663133366E-7</v>
      </c>
    </row>
    <row r="32" spans="1:10" x14ac:dyDescent="0.25">
      <c r="A32">
        <f>I22</f>
        <v>1.0440017662720302E-8</v>
      </c>
      <c r="B32" s="5">
        <f>F22</f>
        <v>5.2868574672021356E-7</v>
      </c>
      <c r="C32">
        <f t="shared" ref="C32:G36" si="10">(C$31-$B32)/SQRT(C$30^2+$A32^2)</f>
        <v>0</v>
      </c>
      <c r="D32">
        <f t="shared" si="10"/>
        <v>-0.49863635204038947</v>
      </c>
      <c r="E32">
        <f t="shared" si="10"/>
        <v>0.38185809344407851</v>
      </c>
      <c r="F32">
        <f t="shared" si="10"/>
        <v>0.38185809344408567</v>
      </c>
      <c r="G32">
        <f t="shared" si="10"/>
        <v>-0.8646891633506778</v>
      </c>
    </row>
    <row r="33" spans="1:12" x14ac:dyDescent="0.25">
      <c r="A33">
        <f>I23</f>
        <v>1.0282685222098369E-8</v>
      </c>
      <c r="B33" s="5">
        <f>F23</f>
        <v>5.2137893602708232E-7</v>
      </c>
      <c r="C33">
        <f t="shared" si="10"/>
        <v>0.49863635204038947</v>
      </c>
      <c r="D33">
        <f t="shared" si="10"/>
        <v>0</v>
      </c>
      <c r="E33">
        <f t="shared" si="10"/>
        <v>0.88026387589458432</v>
      </c>
      <c r="F33">
        <f t="shared" si="10"/>
        <v>0.88026387589459154</v>
      </c>
      <c r="G33">
        <f t="shared" si="10"/>
        <v>-0.36625872030344875</v>
      </c>
    </row>
    <row r="34" spans="1:12" x14ac:dyDescent="0.25">
      <c r="A34">
        <f>I24</f>
        <v>1.0567602312323305E-8</v>
      </c>
      <c r="B34" s="5">
        <f>F24</f>
        <v>5.343582122273456E-7</v>
      </c>
      <c r="C34">
        <f t="shared" si="10"/>
        <v>-0.38185809344407851</v>
      </c>
      <c r="D34">
        <f t="shared" si="10"/>
        <v>-0.88026387589458432</v>
      </c>
      <c r="E34">
        <f t="shared" si="10"/>
        <v>0</v>
      </c>
      <c r="F34">
        <f t="shared" si="10"/>
        <v>7.0846574652214608E-15</v>
      </c>
      <c r="G34">
        <f t="shared" si="10"/>
        <v>-1.2459899028210077</v>
      </c>
    </row>
    <row r="35" spans="1:12" x14ac:dyDescent="0.25">
      <c r="A35">
        <f>I25</f>
        <v>1.0567602312323305E-8</v>
      </c>
      <c r="B35" s="5">
        <f>F25</f>
        <v>5.3435821222734571E-7</v>
      </c>
      <c r="C35">
        <f t="shared" si="10"/>
        <v>-0.38185809344408567</v>
      </c>
      <c r="D35">
        <f t="shared" si="10"/>
        <v>-0.88026387589459154</v>
      </c>
      <c r="E35">
        <f t="shared" si="10"/>
        <v>-7.0846574652214608E-15</v>
      </c>
      <c r="F35">
        <f t="shared" si="10"/>
        <v>0</v>
      </c>
      <c r="G35">
        <f t="shared" si="10"/>
        <v>-1.2459899028210151</v>
      </c>
    </row>
    <row r="36" spans="1:12" x14ac:dyDescent="0.25">
      <c r="A36">
        <f>I26</f>
        <v>1.0173456328911264E-8</v>
      </c>
      <c r="B36" s="5">
        <f>F26</f>
        <v>5.1608104663133366E-7</v>
      </c>
      <c r="C36">
        <f t="shared" si="10"/>
        <v>0.8646891633506778</v>
      </c>
      <c r="D36">
        <f t="shared" si="10"/>
        <v>0.36625872030344875</v>
      </c>
      <c r="E36">
        <f t="shared" si="10"/>
        <v>1.2459899028210077</v>
      </c>
      <c r="F36">
        <f t="shared" si="10"/>
        <v>1.2459899028210151</v>
      </c>
      <c r="G36">
        <f t="shared" si="10"/>
        <v>0</v>
      </c>
    </row>
    <row r="38" spans="1:12" x14ac:dyDescent="0.25">
      <c r="E38" s="10"/>
    </row>
    <row r="39" spans="1:12" x14ac:dyDescent="0.25">
      <c r="A39" s="10" t="s">
        <v>7</v>
      </c>
      <c r="B39" s="10"/>
      <c r="C39" s="10"/>
      <c r="D39" s="10"/>
      <c r="E39" s="10"/>
      <c r="F39" s="10"/>
    </row>
    <row r="40" spans="1:12" x14ac:dyDescent="0.25">
      <c r="A40" s="10"/>
      <c r="B40" s="10" t="s">
        <v>36</v>
      </c>
      <c r="C40" s="10" t="s">
        <v>27</v>
      </c>
      <c r="D40" s="10" t="s">
        <v>24</v>
      </c>
      <c r="E40" s="10" t="s">
        <v>29</v>
      </c>
      <c r="F40" s="10" t="s">
        <v>37</v>
      </c>
      <c r="G40" t="s">
        <v>39</v>
      </c>
      <c r="H40" t="s">
        <v>40</v>
      </c>
      <c r="I40" t="s">
        <v>41</v>
      </c>
      <c r="J40" t="s">
        <v>42</v>
      </c>
      <c r="K40" t="s">
        <v>2</v>
      </c>
      <c r="L40" t="s">
        <v>43</v>
      </c>
    </row>
    <row r="41" spans="1:12" x14ac:dyDescent="0.25">
      <c r="A41" s="12">
        <v>1</v>
      </c>
      <c r="B41" s="10">
        <v>10.3</v>
      </c>
      <c r="C41" s="10">
        <f>B41</f>
        <v>10.3</v>
      </c>
      <c r="D41" s="11">
        <f>$B$12/C41</f>
        <v>4.8543689320388346E-5</v>
      </c>
      <c r="E41" s="11">
        <f>SQRT(2)*D41*$B$13/C41</f>
        <v>1.666289898167941E-6</v>
      </c>
      <c r="F41" s="11">
        <f>(4*PI()/3)*$F$27^3*($B$9-$B$8)*($B$6/$E$18)*(1+ABS(D41)/$D$27)</f>
        <v>3.2486977540370734E-16</v>
      </c>
      <c r="G41" s="11">
        <f>F41*3/$F$27</f>
        <v>1.8494503114578777E-9</v>
      </c>
      <c r="H41" s="11">
        <f>F41/$E$18</f>
        <v>8.2300343102272521E-18</v>
      </c>
      <c r="I41">
        <f>(4*PI()/3)*$F$27^3*($B$9-$B$8)*($B$6/$E$18)*(1/$D$27)</f>
        <v>3.9986423184503804E-12</v>
      </c>
      <c r="J41" s="11">
        <f>(4*PI()/3)*$F$27^3*($B$9-$B$8)*($B$6/$E$18)*(ABS(D41)/$D$27^2)</f>
        <v>5.9358089098455408E-12</v>
      </c>
      <c r="K41">
        <f>SQRT(G41^2*$I$27^2+H41^2*$F$18^2+I41^2*E41^2+J41^2*$E$28^2)</f>
        <v>2.1088249686831988E-17</v>
      </c>
      <c r="L41" s="11">
        <f>K41/F41</f>
        <v>6.4912932145276242E-2</v>
      </c>
    </row>
    <row r="42" spans="1:12" x14ac:dyDescent="0.25">
      <c r="A42" s="12">
        <v>2</v>
      </c>
      <c r="B42" s="10">
        <v>20.7</v>
      </c>
      <c r="C42" s="10">
        <f>B42-B41</f>
        <v>10.399999999999999</v>
      </c>
      <c r="D42" s="11">
        <f t="shared" ref="D42:D45" si="11">$B$12/C42</f>
        <v>4.8076923076923084E-5</v>
      </c>
      <c r="E42" s="11">
        <f t="shared" ref="E42:E44" si="12">SQRT(2)*D42*$B$13/C42</f>
        <v>1.6343999195325163E-6</v>
      </c>
      <c r="F42" s="11">
        <f t="shared" ref="F42:F45" si="13">(4*PI()/3)*$F$27^3*($B$9-$B$8)*($B$6/$E$18)*(1+ABS(D42)/$D$27)</f>
        <v>3.2300334414976302E-16</v>
      </c>
      <c r="G42" s="11">
        <f t="shared" ref="G42:G45" si="14">F42*3/$F$27</f>
        <v>1.8388249097576657E-9</v>
      </c>
      <c r="H42" s="14">
        <f t="shared" ref="H42:H45" si="15">F42/$E$18</f>
        <v>8.1827513851273298E-18</v>
      </c>
      <c r="I42" s="13">
        <f t="shared" ref="I42:I45" si="16">(4*PI()/3)*$F$27^3*($B$9-$B$8)*($B$6/$E$18)*(1/$D$27)</f>
        <v>3.9986423184503804E-12</v>
      </c>
      <c r="J42" s="14">
        <f t="shared" ref="J42:J45" si="17">(4*PI()/3)*$F$27^3*($B$9-$B$8)*($B$6/$E$18)*(ABS(D42)/$D$27^2)</f>
        <v>5.8787338241739504E-12</v>
      </c>
      <c r="K42" s="13">
        <f t="shared" ref="K42:K45" si="18">SQRT(G42^2*$I$27^2+H42^2*$F$18^2+I42^2*E42^2+J42^2*$E$28^2)</f>
        <v>2.0935446628475073E-17</v>
      </c>
      <c r="L42" s="14">
        <f t="shared" ref="L42:L45" si="19">K42/F42</f>
        <v>6.4814953181315027E-2</v>
      </c>
    </row>
    <row r="43" spans="1:12" x14ac:dyDescent="0.25">
      <c r="A43" s="12">
        <v>3</v>
      </c>
      <c r="B43" s="10">
        <v>31.1</v>
      </c>
      <c r="C43" s="10">
        <f>B43-B42</f>
        <v>10.400000000000002</v>
      </c>
      <c r="D43" s="11">
        <f t="shared" si="11"/>
        <v>4.807692307692307E-5</v>
      </c>
      <c r="E43" s="11">
        <f t="shared" si="12"/>
        <v>1.634399919532515E-6</v>
      </c>
      <c r="F43" s="11">
        <f t="shared" si="13"/>
        <v>3.2300334414976297E-16</v>
      </c>
      <c r="G43" s="11">
        <f t="shared" si="14"/>
        <v>1.8388249097576653E-9</v>
      </c>
      <c r="H43" s="14">
        <f t="shared" si="15"/>
        <v>8.1827513851273283E-18</v>
      </c>
      <c r="I43" s="13">
        <f t="shared" si="16"/>
        <v>3.9986423184503804E-12</v>
      </c>
      <c r="J43" s="14">
        <f t="shared" si="17"/>
        <v>5.8787338241739488E-12</v>
      </c>
      <c r="K43" s="13">
        <f t="shared" si="18"/>
        <v>2.0935446628475067E-17</v>
      </c>
      <c r="L43" s="14">
        <f t="shared" si="19"/>
        <v>6.4814953181315013E-2</v>
      </c>
    </row>
    <row r="44" spans="1:12" x14ac:dyDescent="0.25">
      <c r="A44" s="12">
        <v>4</v>
      </c>
      <c r="B44" s="10">
        <v>41.6</v>
      </c>
      <c r="C44" s="10">
        <f>B44-B43</f>
        <v>10.5</v>
      </c>
      <c r="D44" s="11">
        <f t="shared" si="11"/>
        <v>4.761904761904762E-5</v>
      </c>
      <c r="E44" s="11">
        <f t="shared" si="12"/>
        <v>1.6034167373844617E-6</v>
      </c>
      <c r="F44" s="11">
        <f t="shared" si="13"/>
        <v>3.2117246396732235E-16</v>
      </c>
      <c r="G44" s="11">
        <f t="shared" si="14"/>
        <v>1.8284018966612672E-9</v>
      </c>
      <c r="H44" s="14">
        <f t="shared" si="15"/>
        <v>8.1363690871721659E-18</v>
      </c>
      <c r="I44" s="13">
        <f t="shared" si="16"/>
        <v>3.9986423184503804E-12</v>
      </c>
      <c r="J44" s="14">
        <f t="shared" si="17"/>
        <v>5.8227458829913402E-12</v>
      </c>
      <c r="K44" s="13">
        <f t="shared" si="18"/>
        <v>2.0786264518502469E-17</v>
      </c>
      <c r="L44" s="14">
        <f t="shared" si="19"/>
        <v>6.4719945980852719E-2</v>
      </c>
    </row>
    <row r="45" spans="1:12" x14ac:dyDescent="0.25">
      <c r="A45" s="12">
        <v>5</v>
      </c>
      <c r="B45" s="10">
        <v>52</v>
      </c>
      <c r="C45" s="10">
        <f>B45-B44</f>
        <v>10.399999999999999</v>
      </c>
      <c r="D45" s="11">
        <f t="shared" si="11"/>
        <v>4.8076923076923084E-5</v>
      </c>
      <c r="E45" s="11">
        <f>SQRT(2)*D45*$B$13/C45</f>
        <v>1.6343999195325163E-6</v>
      </c>
      <c r="F45" s="11">
        <f t="shared" si="13"/>
        <v>3.2300334414976302E-16</v>
      </c>
      <c r="G45" s="11">
        <f t="shared" si="14"/>
        <v>1.8388249097576657E-9</v>
      </c>
      <c r="H45" s="14">
        <f t="shared" si="15"/>
        <v>8.1827513851273298E-18</v>
      </c>
      <c r="I45" s="13">
        <f t="shared" si="16"/>
        <v>3.9986423184503804E-12</v>
      </c>
      <c r="J45" s="14">
        <f t="shared" si="17"/>
        <v>5.8787338241739504E-12</v>
      </c>
      <c r="K45" s="13">
        <f t="shared" si="18"/>
        <v>2.0935446628475073E-17</v>
      </c>
      <c r="L45" s="14">
        <f t="shared" si="19"/>
        <v>6.4814953181315027E-2</v>
      </c>
    </row>
    <row r="46" spans="1:12" x14ac:dyDescent="0.25">
      <c r="C46" s="10"/>
      <c r="E46" s="10"/>
    </row>
    <row r="49" spans="1:12" x14ac:dyDescent="0.25">
      <c r="A49" s="10" t="s">
        <v>7</v>
      </c>
      <c r="B49" s="10"/>
      <c r="C49" s="10"/>
      <c r="D49" s="10"/>
      <c r="E49" s="10"/>
      <c r="F49" s="10"/>
      <c r="G49" s="10"/>
    </row>
    <row r="50" spans="1:12" x14ac:dyDescent="0.25">
      <c r="A50" s="10"/>
      <c r="B50" s="10" t="s">
        <v>23</v>
      </c>
      <c r="C50" s="10" t="s">
        <v>27</v>
      </c>
      <c r="D50" s="10" t="s">
        <v>24</v>
      </c>
      <c r="E50" s="10" t="s">
        <v>29</v>
      </c>
      <c r="F50" s="10" t="s">
        <v>37</v>
      </c>
      <c r="G50" s="10" t="s">
        <v>39</v>
      </c>
      <c r="H50" s="13" t="s">
        <v>40</v>
      </c>
      <c r="I50" s="13" t="s">
        <v>41</v>
      </c>
      <c r="J50" s="13" t="s">
        <v>42</v>
      </c>
      <c r="K50" s="13" t="s">
        <v>2</v>
      </c>
      <c r="L50" s="13" t="s">
        <v>43</v>
      </c>
    </row>
    <row r="51" spans="1:12" x14ac:dyDescent="0.25">
      <c r="A51" s="12">
        <v>6</v>
      </c>
      <c r="B51" s="13">
        <v>4.3</v>
      </c>
      <c r="C51" s="10">
        <f>B51</f>
        <v>4.3</v>
      </c>
      <c r="D51" s="11">
        <f>$B$12/C51</f>
        <v>1.1627906976744187E-4</v>
      </c>
      <c r="E51" s="11">
        <f>SQRT(2)*D51*$B$13/C51</f>
        <v>9.560664970072304E-6</v>
      </c>
      <c r="F51" s="11">
        <f>-(4*PI()/3)*$F$27^3*($B$9-$B$8)*($B$6/$E$18)*(1-ABS(D51)/$D$27)</f>
        <v>3.3419748412864248E-16</v>
      </c>
      <c r="G51" s="11">
        <f>F51*3/$F$27</f>
        <v>1.9025520005426264E-9</v>
      </c>
      <c r="H51" s="14">
        <f>F51/$E$18</f>
        <v>8.4663362645922756E-18</v>
      </c>
      <c r="I51">
        <f>-(4*PI()/3)*$F$27^3*($B$9-$B$8)*($B$6/$E$18)*(-1/$D$27)</f>
        <v>3.9986423184503804E-12</v>
      </c>
      <c r="J51" s="11">
        <f>-(4*PI()/3)*$F$27^3*($B$9-$B$8)*($B$6/$E$18)*(-ABS(D51)/$D$27^2)</f>
        <v>1.4218332970095133E-11</v>
      </c>
      <c r="K51" s="13">
        <f>SQRT(G51^2*$I$27^2+H51^2*$F$18^2+I51^2*E51^2+J51^2*$E$28^2)</f>
        <v>4.4470183044618965E-17</v>
      </c>
      <c r="L51" s="14">
        <f>K51/F51</f>
        <v>0.13306558294586407</v>
      </c>
    </row>
    <row r="52" spans="1:12" x14ac:dyDescent="0.25">
      <c r="A52" s="12">
        <v>7</v>
      </c>
      <c r="B52" s="13">
        <v>8.6999999999999993</v>
      </c>
      <c r="C52" s="10">
        <f>B52-B51</f>
        <v>4.3999999999999995</v>
      </c>
      <c r="D52" s="11">
        <f t="shared" ref="D52:D55" si="20">$B$12/C52</f>
        <v>1.1363636363636365E-4</v>
      </c>
      <c r="E52" s="11">
        <f t="shared" ref="E52:E54" si="21">SQRT(2)*D52*$B$13/C52</f>
        <v>9.1310276496196759E-6</v>
      </c>
      <c r="F52" s="14">
        <f t="shared" ref="F52:F55" si="22">-(4*PI()/3)*$F$27^3*($B$9-$B$8)*($B$6/$E$18)*(1-ABS(D52)/$D$27)</f>
        <v>3.2363024755768481E-16</v>
      </c>
      <c r="G52" s="11">
        <f t="shared" ref="G52:G55" si="23">F52*3/$F$27</f>
        <v>1.8423938065612982E-9</v>
      </c>
      <c r="H52" s="14">
        <f t="shared" ref="H52:H55" si="24">F52/$E$18</f>
        <v>8.198632938128015E-18</v>
      </c>
      <c r="I52" s="13">
        <f t="shared" ref="I52:I55" si="25">-(4*PI()/3)*$F$27^3*($B$9-$B$8)*($B$6/$E$18)*(-1/$D$27)</f>
        <v>3.9986423184503804E-12</v>
      </c>
      <c r="J52" s="14">
        <f t="shared" ref="J52:J55" si="26">-(4*PI()/3)*$F$27^3*($B$9-$B$8)*($B$6/$E$18)*(-ABS(D52)/$D$27^2)</f>
        <v>1.3895189038956607E-11</v>
      </c>
      <c r="K52" s="13">
        <f t="shared" ref="K52:K55" si="27">SQRT(G52^2*$I$27^2+H52^2*$F$18^2+I52^2*E52^2+J52^2*$E$28^2)</f>
        <v>4.2650135979265237E-17</v>
      </c>
      <c r="L52" s="14">
        <f t="shared" ref="L52:L55" si="28">K52/F52</f>
        <v>0.13178661852879853</v>
      </c>
    </row>
    <row r="53" spans="1:12" x14ac:dyDescent="0.25">
      <c r="A53" s="17">
        <v>8</v>
      </c>
      <c r="B53" s="13">
        <v>13.2</v>
      </c>
      <c r="C53" s="10">
        <f>B53-B52</f>
        <v>4.5</v>
      </c>
      <c r="D53" s="11">
        <f t="shared" si="20"/>
        <v>1.1111111111111112E-4</v>
      </c>
      <c r="E53" s="11">
        <f t="shared" si="21"/>
        <v>8.7297133479820693E-6</v>
      </c>
      <c r="F53" s="14">
        <f t="shared" si="22"/>
        <v>3.1353266594543639E-16</v>
      </c>
      <c r="G53" s="11">
        <f t="shared" si="23"/>
        <v>1.784909310090251E-9</v>
      </c>
      <c r="H53" s="14">
        <f t="shared" si="24"/>
        <v>7.9428275372843893E-18</v>
      </c>
      <c r="I53" s="13">
        <f t="shared" si="25"/>
        <v>3.9986423184503804E-12</v>
      </c>
      <c r="J53" s="14">
        <f t="shared" si="26"/>
        <v>1.3586407060313128E-11</v>
      </c>
      <c r="K53" s="13">
        <f t="shared" si="27"/>
        <v>4.0944718387439781E-17</v>
      </c>
      <c r="L53" s="14">
        <f t="shared" si="28"/>
        <v>0.13059155499467265</v>
      </c>
    </row>
    <row r="54" spans="1:12" x14ac:dyDescent="0.25">
      <c r="A54" s="17">
        <v>9</v>
      </c>
      <c r="B54" s="13">
        <v>17.399999999999999</v>
      </c>
      <c r="C54" s="10">
        <f>B54-B53</f>
        <v>4.1999999999999993</v>
      </c>
      <c r="D54" s="11">
        <f t="shared" si="20"/>
        <v>1.1904761904761907E-4</v>
      </c>
      <c r="E54" s="11">
        <f t="shared" si="21"/>
        <v>1.002135460865289E-5</v>
      </c>
      <c r="F54" s="14">
        <f t="shared" si="22"/>
        <v>3.4526792244107438E-16</v>
      </c>
      <c r="G54" s="11">
        <f t="shared" si="23"/>
        <v>1.9655748704278272E-9</v>
      </c>
      <c r="H54" s="14">
        <f t="shared" si="24"/>
        <v>8.7467873685072173E-18</v>
      </c>
      <c r="I54" s="13">
        <f t="shared" si="25"/>
        <v>3.9986423184503804E-12</v>
      </c>
      <c r="J54" s="14">
        <f t="shared" si="26"/>
        <v>1.4556864707478355E-11</v>
      </c>
      <c r="K54" s="13">
        <f t="shared" si="27"/>
        <v>4.6415777391789195E-17</v>
      </c>
      <c r="L54" s="14">
        <f t="shared" si="28"/>
        <v>0.13443408545927346</v>
      </c>
    </row>
    <row r="55" spans="1:12" x14ac:dyDescent="0.25">
      <c r="A55" s="17">
        <v>10</v>
      </c>
      <c r="B55" s="13">
        <v>21.7</v>
      </c>
      <c r="C55" s="10">
        <f>B55-B54</f>
        <v>4.3000000000000007</v>
      </c>
      <c r="D55" s="11">
        <f t="shared" si="20"/>
        <v>1.1627906976744184E-4</v>
      </c>
      <c r="E55" s="11">
        <f>SQRT(2)*D55*$B$13/C55</f>
        <v>9.5606649700723006E-6</v>
      </c>
      <c r="F55" s="14">
        <f t="shared" si="22"/>
        <v>3.3419748412864238E-16</v>
      </c>
      <c r="G55" s="11">
        <f t="shared" si="23"/>
        <v>1.9025520005426255E-9</v>
      </c>
      <c r="H55" s="14">
        <f t="shared" si="24"/>
        <v>8.4663362645922741E-18</v>
      </c>
      <c r="I55" s="13">
        <f t="shared" si="25"/>
        <v>3.9986423184503804E-12</v>
      </c>
      <c r="J55" s="14">
        <f t="shared" si="26"/>
        <v>1.4218332970095131E-11</v>
      </c>
      <c r="K55" s="13">
        <f t="shared" si="27"/>
        <v>4.4470183044618946E-17</v>
      </c>
      <c r="L55" s="14">
        <f t="shared" si="28"/>
        <v>0.13306558294586404</v>
      </c>
    </row>
    <row r="59" spans="1:12" x14ac:dyDescent="0.25">
      <c r="B59" t="s">
        <v>38</v>
      </c>
    </row>
    <row r="60" spans="1:12" x14ac:dyDescent="0.25">
      <c r="A60" s="11"/>
      <c r="B60" t="s">
        <v>44</v>
      </c>
      <c r="C60" t="s">
        <v>45</v>
      </c>
    </row>
    <row r="61" spans="1:12" x14ac:dyDescent="0.25">
      <c r="A61">
        <v>1</v>
      </c>
      <c r="B61" s="11">
        <f>F41</f>
        <v>3.2486977540370734E-16</v>
      </c>
      <c r="C61">
        <f>K41</f>
        <v>2.1088249686831988E-17</v>
      </c>
    </row>
    <row r="62" spans="1:12" x14ac:dyDescent="0.25">
      <c r="A62">
        <v>2</v>
      </c>
      <c r="B62" s="14">
        <f t="shared" ref="B62:B65" si="29">F42</f>
        <v>3.2300334414976302E-16</v>
      </c>
      <c r="C62" s="13">
        <f t="shared" ref="C62:C65" si="30">K42</f>
        <v>2.0935446628475073E-17</v>
      </c>
    </row>
    <row r="63" spans="1:12" x14ac:dyDescent="0.25">
      <c r="A63">
        <v>3</v>
      </c>
      <c r="B63" s="14">
        <f t="shared" si="29"/>
        <v>3.2300334414976297E-16</v>
      </c>
      <c r="C63" s="13">
        <f t="shared" si="30"/>
        <v>2.0935446628475067E-17</v>
      </c>
    </row>
    <row r="64" spans="1:12" x14ac:dyDescent="0.25">
      <c r="A64">
        <v>4</v>
      </c>
      <c r="B64" s="14">
        <f t="shared" si="29"/>
        <v>3.2117246396732235E-16</v>
      </c>
      <c r="C64" s="13">
        <f t="shared" si="30"/>
        <v>2.0786264518502469E-17</v>
      </c>
    </row>
    <row r="65" spans="1:3" x14ac:dyDescent="0.25">
      <c r="A65">
        <v>5</v>
      </c>
      <c r="B65" s="14">
        <f t="shared" si="29"/>
        <v>3.2300334414976302E-16</v>
      </c>
      <c r="C65" s="13">
        <f t="shared" si="30"/>
        <v>2.0935446628475073E-17</v>
      </c>
    </row>
    <row r="66" spans="1:3" x14ac:dyDescent="0.25">
      <c r="A66">
        <v>6</v>
      </c>
      <c r="B66" s="11">
        <f>F51</f>
        <v>3.3419748412864248E-16</v>
      </c>
      <c r="C66">
        <f>K51</f>
        <v>4.4470183044618965E-17</v>
      </c>
    </row>
    <row r="67" spans="1:3" x14ac:dyDescent="0.25">
      <c r="A67">
        <v>7</v>
      </c>
      <c r="B67" s="14">
        <f t="shared" ref="B67:B70" si="31">F52</f>
        <v>3.2363024755768481E-16</v>
      </c>
      <c r="C67" s="13">
        <f t="shared" ref="C67:C70" si="32">K52</f>
        <v>4.2650135979265237E-17</v>
      </c>
    </row>
    <row r="68" spans="1:3" x14ac:dyDescent="0.25">
      <c r="A68">
        <v>8</v>
      </c>
      <c r="B68" s="14">
        <f t="shared" si="31"/>
        <v>3.1353266594543639E-16</v>
      </c>
      <c r="C68" s="13">
        <f t="shared" si="32"/>
        <v>4.0944718387439781E-17</v>
      </c>
    </row>
    <row r="69" spans="1:3" x14ac:dyDescent="0.25">
      <c r="A69">
        <v>9</v>
      </c>
      <c r="B69" s="14">
        <f t="shared" si="31"/>
        <v>3.4526792244107438E-16</v>
      </c>
      <c r="C69" s="13">
        <f t="shared" si="32"/>
        <v>4.6415777391789195E-17</v>
      </c>
    </row>
    <row r="70" spans="1:3" x14ac:dyDescent="0.25">
      <c r="A70">
        <v>10</v>
      </c>
      <c r="B70" s="14">
        <f t="shared" si="31"/>
        <v>3.3419748412864238E-16</v>
      </c>
      <c r="C70" s="13">
        <f t="shared" si="32"/>
        <v>4.4470183044618946E-17</v>
      </c>
    </row>
  </sheetData>
  <mergeCells count="2">
    <mergeCell ref="A1:C2"/>
    <mergeCell ref="A14:C15"/>
  </mergeCells>
  <conditionalFormatting sqref="C32:G36">
    <cfRule type="cellIs" dxfId="67" priority="1" operator="notBetween">
      <formula>-1.96</formula>
      <formula>1.96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topLeftCell="A13" workbookViewId="0">
      <selection activeCell="B17" sqref="B17"/>
    </sheetView>
  </sheetViews>
  <sheetFormatPr defaultRowHeight="15" x14ac:dyDescent="0.25"/>
  <cols>
    <col min="1" max="1" width="13.140625" style="13" customWidth="1"/>
    <col min="2" max="2" width="9.140625" style="13"/>
    <col min="3" max="5" width="12" style="13" customWidth="1"/>
    <col min="6" max="7" width="12.140625" style="13" customWidth="1"/>
    <col min="8" max="9" width="12" style="13" customWidth="1"/>
    <col min="10" max="10" width="9.140625" style="13"/>
    <col min="11" max="11" width="12" style="13" customWidth="1"/>
    <col min="12" max="16384" width="9.140625" style="13"/>
  </cols>
  <sheetData>
    <row r="1" spans="1:5" x14ac:dyDescent="0.25">
      <c r="A1" s="187" t="str">
        <f>[1]Dati!A1</f>
        <v>Costanti varie</v>
      </c>
      <c r="B1" s="187"/>
      <c r="C1" s="187"/>
    </row>
    <row r="2" spans="1:5" x14ac:dyDescent="0.25">
      <c r="A2" s="187"/>
      <c r="B2" s="187"/>
      <c r="C2" s="187"/>
    </row>
    <row r="4" spans="1:5" x14ac:dyDescent="0.25">
      <c r="B4" s="13" t="s">
        <v>1</v>
      </c>
      <c r="C4" s="13" t="s">
        <v>2</v>
      </c>
    </row>
    <row r="5" spans="1:5" x14ac:dyDescent="0.25">
      <c r="A5" s="13" t="str">
        <f>[1]Dati!A5</f>
        <v>d</v>
      </c>
      <c r="B5" s="14">
        <f>Dati!B5</f>
        <v>7.4300000000000008E-3</v>
      </c>
      <c r="C5" s="13">
        <f>[1]Dati!C5</f>
        <v>1.0000000000000001E-5</v>
      </c>
    </row>
    <row r="6" spans="1:5" x14ac:dyDescent="0.25">
      <c r="A6" s="13" t="str">
        <f>[1]Dati!A6</f>
        <v>g</v>
      </c>
      <c r="B6" s="13">
        <f>[1]Dati!B6</f>
        <v>9.8059999999999992</v>
      </c>
      <c r="C6" s="13">
        <f>[1]Dati!C6</f>
        <v>0</v>
      </c>
    </row>
    <row r="7" spans="1:5" x14ac:dyDescent="0.25">
      <c r="A7" s="13" t="str">
        <f>[1]Dati!A7</f>
        <v>pressione</v>
      </c>
      <c r="B7" s="13">
        <f>[1]Dati!B7</f>
        <v>101325</v>
      </c>
      <c r="C7" s="13">
        <f>[1]Dati!C7</f>
        <v>0</v>
      </c>
    </row>
    <row r="8" spans="1:5" x14ac:dyDescent="0.25">
      <c r="A8" s="13" t="str">
        <f>[1]Dati!A8</f>
        <v>densità aria</v>
      </c>
      <c r="B8" s="13">
        <v>0</v>
      </c>
      <c r="C8" s="13">
        <f>[1]Dati!C8</f>
        <v>0</v>
      </c>
    </row>
    <row r="9" spans="1:5" x14ac:dyDescent="0.25">
      <c r="A9" s="13" t="str">
        <f>[1]Dati!A9</f>
        <v>densità olio</v>
      </c>
      <c r="B9" s="13">
        <v>858.7</v>
      </c>
      <c r="C9" s="13">
        <f>[1]Dati!C9</f>
        <v>0</v>
      </c>
    </row>
    <row r="10" spans="1:5" x14ac:dyDescent="0.25">
      <c r="A10" s="13" t="str">
        <f>[1]Dati!A10</f>
        <v>cst corr vis</v>
      </c>
      <c r="B10" s="13">
        <f>[1]Dati!B10</f>
        <v>8.2000000000000007E-3</v>
      </c>
      <c r="C10" s="13">
        <f>[1]Dati!C10</f>
        <v>0</v>
      </c>
    </row>
    <row r="11" spans="1:5" x14ac:dyDescent="0.25">
      <c r="A11" s="13" t="str">
        <f>[1]Dati!A11</f>
        <v>e</v>
      </c>
      <c r="B11" s="13">
        <f>[1]Dati!B11</f>
        <v>1.6021766200000001E-19</v>
      </c>
      <c r="C11" s="13">
        <f>[1]Dati!C11</f>
        <v>0</v>
      </c>
    </row>
    <row r="12" spans="1:5" x14ac:dyDescent="0.25">
      <c r="A12" s="13" t="str">
        <f>[1]Dati!A12</f>
        <v>deltax</v>
      </c>
      <c r="B12" s="13">
        <f>[1]Dati!B12</f>
        <v>5.0000000000000001E-4</v>
      </c>
      <c r="C12" s="13">
        <f>[1]Dati!C12</f>
        <v>0</v>
      </c>
    </row>
    <row r="13" spans="1:5" x14ac:dyDescent="0.25">
      <c r="A13" s="13" t="s">
        <v>30</v>
      </c>
      <c r="B13" s="13">
        <f>Dati!B13</f>
        <v>0.25</v>
      </c>
    </row>
    <row r="14" spans="1:5" x14ac:dyDescent="0.25">
      <c r="A14" s="187" t="s">
        <v>17</v>
      </c>
      <c r="B14" s="187"/>
      <c r="C14" s="187"/>
      <c r="D14" s="16"/>
    </row>
    <row r="15" spans="1:5" x14ac:dyDescent="0.25">
      <c r="A15" s="187"/>
      <c r="B15" s="187"/>
      <c r="C15" s="187"/>
      <c r="D15" s="16"/>
    </row>
    <row r="16" spans="1:5" x14ac:dyDescent="0.25">
      <c r="A16" s="13" t="s">
        <v>18</v>
      </c>
      <c r="B16" s="13">
        <v>304</v>
      </c>
      <c r="C16" s="13">
        <f>B16/100</f>
        <v>3.04</v>
      </c>
      <c r="D16" s="13" t="s">
        <v>19</v>
      </c>
      <c r="E16" s="13">
        <f>(1.8+(B18-15)*0.004765)*0.00001</f>
        <v>1.8238250000000001E-5</v>
      </c>
    </row>
    <row r="17" spans="1:10" x14ac:dyDescent="0.25">
      <c r="A17" s="13" t="s">
        <v>20</v>
      </c>
      <c r="E17" s="15"/>
    </row>
    <row r="18" spans="1:10" x14ac:dyDescent="0.25">
      <c r="A18" s="13" t="s">
        <v>21</v>
      </c>
      <c r="B18" s="13">
        <v>20</v>
      </c>
      <c r="C18" s="13">
        <v>0.5</v>
      </c>
      <c r="D18" s="13" t="s">
        <v>22</v>
      </c>
      <c r="E18" s="14">
        <f>B16/B5</f>
        <v>40915.208613728122</v>
      </c>
      <c r="F18" s="13">
        <f>SQRT((C16/B5)^2+(B16*C5/B5^2)^2)</f>
        <v>412.84121337929804</v>
      </c>
      <c r="G18" s="14"/>
    </row>
    <row r="21" spans="1:10" x14ac:dyDescent="0.25">
      <c r="B21" s="13" t="s">
        <v>23</v>
      </c>
      <c r="C21" s="13" t="s">
        <v>27</v>
      </c>
      <c r="D21" s="13" t="s">
        <v>24</v>
      </c>
      <c r="E21" s="13" t="s">
        <v>29</v>
      </c>
      <c r="F21" s="13" t="s">
        <v>25</v>
      </c>
      <c r="G21" s="13" t="s">
        <v>26</v>
      </c>
      <c r="H21" s="13" t="s">
        <v>28</v>
      </c>
      <c r="I21" s="13" t="s">
        <v>31</v>
      </c>
      <c r="J21" s="13" t="s">
        <v>32</v>
      </c>
    </row>
    <row r="22" spans="1:10" x14ac:dyDescent="0.25">
      <c r="A22" s="13">
        <v>1</v>
      </c>
      <c r="B22" s="18">
        <v>12.8</v>
      </c>
      <c r="C22" s="13">
        <f>B22</f>
        <v>12.8</v>
      </c>
      <c r="D22" s="14">
        <f>B12/B22</f>
        <v>3.9062500000000001E-5</v>
      </c>
      <c r="E22" s="14">
        <f>SQRT(2)*D22*$B$13/C22</f>
        <v>1.0789593218788872E-6</v>
      </c>
      <c r="F22" s="5">
        <f>(($B$10/(2*$B$7))^2+9*$E$16*D22/(2*$B$6*($B$9-$B$8)))^(1/2)-$B$10/(2*$B$7)</f>
        <v>5.7789844826097423E-7</v>
      </c>
      <c r="G22" s="13">
        <f>(($B$10/(2*$B$7))^2+9*$E$16*D22/(2*$B$6*($B$9-$B$8)))^(-1/2)*(9*$E$16)/(4*$B$6*$B$9)</f>
        <v>7.8811451360458508E-3</v>
      </c>
      <c r="H22" s="13">
        <f>(($B$10/(2*$B$7))^2+9*$E$16*D22/(2*$B$6*($B$9-$B$8)))^(-1/2)*((9*D22)/(4*$B$6*$B$9))*0.00000004765</f>
        <v>8.0432043090368305E-10</v>
      </c>
      <c r="I22" s="13">
        <f>SQRT(G22^2*E22^2+H22^2*$C$18^2+$F$28^2)</f>
        <v>1.095590799270341E-7</v>
      </c>
      <c r="J22" s="14">
        <f>I22/F22</f>
        <v>0.18958188978828702</v>
      </c>
    </row>
    <row r="23" spans="1:10" x14ac:dyDescent="0.25">
      <c r="A23" s="13">
        <v>2</v>
      </c>
      <c r="B23" s="18">
        <v>20.170000000000002</v>
      </c>
      <c r="C23" s="13">
        <f>B23-B22</f>
        <v>7.370000000000001</v>
      </c>
      <c r="D23" s="14">
        <f>$B$12/(B23-B22)</f>
        <v>6.7842605156037984E-5</v>
      </c>
      <c r="E23" s="14">
        <f t="shared" ref="E23:E25" si="0">SQRT(2)*D23*$B$13/C23</f>
        <v>3.2545431586971428E-6</v>
      </c>
      <c r="F23" s="5">
        <f>(($B$10/(2*$B$7))^2+9*E16*D23/(2*$B$6*($B$9-$B$8)))^(1/2)-$B$10/(2*$B$7)</f>
        <v>7.7371428461082599E-7</v>
      </c>
      <c r="G23" s="13">
        <f t="shared" ref="G23:G27" si="1">(($B$10/(2*$B$7))^2+9*$E$16*D23/(2*$B$6*($B$9-$B$8)))^(-1/2)*(9*$E$16)/(4*$B$6*$B$9)</f>
        <v>5.9856717093519623E-3</v>
      </c>
      <c r="H23" s="13">
        <f t="shared" ref="H23:H27" si="2">(($B$10/(2*$B$7))^2+9*$E$16*D23/(2*$B$6*($B$9-$B$8)))^(-1/2)*((9*D23)/(4*$B$6*$B$9))*0.00000004765</f>
        <v>1.0609505707504398E-9</v>
      </c>
      <c r="I23" s="13">
        <f t="shared" ref="I23:I27" si="3">SQRT(G23^2*E23^2+H23^2*$C$18^2+$F$28^2)</f>
        <v>1.1095268398525001E-7</v>
      </c>
      <c r="J23" s="14">
        <f t="shared" ref="J23:J27" si="4">I23/F23</f>
        <v>0.14340265675857156</v>
      </c>
    </row>
    <row r="24" spans="1:10" x14ac:dyDescent="0.25">
      <c r="A24" s="13">
        <v>3</v>
      </c>
      <c r="B24" s="18">
        <v>30.06</v>
      </c>
      <c r="C24" s="13">
        <f t="shared" ref="C24:C26" si="5">B24-B23</f>
        <v>9.889999999999997</v>
      </c>
      <c r="D24" s="14">
        <f>$B$12/(B24-B23)</f>
        <v>5.0556117290192128E-5</v>
      </c>
      <c r="E24" s="14">
        <f t="shared" si="0"/>
        <v>1.8073090680665991E-6</v>
      </c>
      <c r="F24" s="5">
        <f>(($B$10/(2*$B$7))^2+9*E16*D24/(2*$B$6*($B$9-$B$8)))^(1/2)-$B$10/(2*$B$7)</f>
        <v>6.6267055419642709E-7</v>
      </c>
      <c r="G24" s="13">
        <f t="shared" si="1"/>
        <v>6.9309693764201905E-3</v>
      </c>
      <c r="H24" s="13">
        <f t="shared" si="2"/>
        <v>9.1547699037672096E-10</v>
      </c>
      <c r="I24" s="13">
        <f t="shared" si="3"/>
        <v>1.0994472325412362E-7</v>
      </c>
      <c r="J24" s="14">
        <f t="shared" si="4"/>
        <v>0.16591158692337804</v>
      </c>
    </row>
    <row r="25" spans="1:10" x14ac:dyDescent="0.25">
      <c r="A25" s="13">
        <v>4</v>
      </c>
      <c r="B25" s="18">
        <v>41.69</v>
      </c>
      <c r="C25" s="13">
        <f t="shared" si="5"/>
        <v>11.629999999999999</v>
      </c>
      <c r="D25" s="14">
        <f>$B$12/(B25-B24)</f>
        <v>4.2992261392949275E-5</v>
      </c>
      <c r="E25" s="14">
        <f t="shared" si="0"/>
        <v>1.3069698869088153E-6</v>
      </c>
      <c r="F25" s="5">
        <f>(($B$10/(2*$B$7))^2+9*E16*D25/(2*$B$6*($B$9-$B$8)))^(1/2)-$B$10/(2*$B$7)</f>
        <v>6.0813044074815428E-7</v>
      </c>
      <c r="G25" s="13">
        <f t="shared" si="1"/>
        <v>7.5137926593183526E-3</v>
      </c>
      <c r="H25" s="13">
        <f t="shared" si="2"/>
        <v>8.4397432860316015E-10</v>
      </c>
      <c r="I25" s="13">
        <f t="shared" si="3"/>
        <v>1.0966922191051032E-7</v>
      </c>
      <c r="J25" s="14">
        <f t="shared" si="4"/>
        <v>0.18033831981110734</v>
      </c>
    </row>
    <row r="26" spans="1:10" x14ac:dyDescent="0.25">
      <c r="A26" s="13">
        <v>5</v>
      </c>
      <c r="B26" s="18">
        <v>59.98</v>
      </c>
      <c r="C26" s="13">
        <f t="shared" si="5"/>
        <v>18.29</v>
      </c>
      <c r="D26" s="14">
        <f>$B$12/(B26-B25)</f>
        <v>2.7337342810278844E-5</v>
      </c>
      <c r="E26" s="14">
        <f>SQRT(2)*D26*$B$13/C26</f>
        <v>5.2844233134963045E-7</v>
      </c>
      <c r="F26" s="5">
        <f>(($B$10/(2*$B$7))^2+9*E16*D26/(2*$B$6*($B$9-$B$8)))^(1/2)-$B$10/(2*$B$7)</f>
        <v>4.7730936201059357E-7</v>
      </c>
      <c r="G26" s="13">
        <f t="shared" si="1"/>
        <v>9.4122347394220134E-3</v>
      </c>
      <c r="H26" s="13">
        <f t="shared" si="2"/>
        <v>6.7224687061895355E-10</v>
      </c>
      <c r="I26" s="13">
        <f t="shared" si="3"/>
        <v>1.0934154631930479E-7</v>
      </c>
      <c r="J26" s="14">
        <f t="shared" si="4"/>
        <v>0.22907898948120364</v>
      </c>
    </row>
    <row r="27" spans="1:10" x14ac:dyDescent="0.25">
      <c r="A27" s="7" t="s">
        <v>34</v>
      </c>
      <c r="B27" s="7"/>
      <c r="C27" s="7">
        <f>AVERAGE(C22:C26)</f>
        <v>11.995999999999999</v>
      </c>
      <c r="D27" s="7">
        <f>AVERAGE(D22:D26)</f>
        <v>4.5558165329891643E-5</v>
      </c>
      <c r="E27" s="8">
        <f>SQRT(2)*D27*$B$13/C27</f>
        <v>1.3427178910963759E-6</v>
      </c>
      <c r="F27" s="9">
        <f>AVERAGE(F22:F26)</f>
        <v>6.1994461796539495E-7</v>
      </c>
      <c r="G27" s="7">
        <f t="shared" si="1"/>
        <v>7.2999325041683081E-3</v>
      </c>
      <c r="H27" s="7">
        <f t="shared" si="2"/>
        <v>8.688900248697602E-10</v>
      </c>
      <c r="I27" s="7">
        <f t="shared" si="3"/>
        <v>1.096676109875008E-7</v>
      </c>
      <c r="J27" s="8">
        <f t="shared" si="4"/>
        <v>0.17689904518797259</v>
      </c>
    </row>
    <row r="28" spans="1:10" x14ac:dyDescent="0.25">
      <c r="A28" s="13" t="s">
        <v>35</v>
      </c>
      <c r="C28" s="6">
        <f>_xlfn.STDEV.S(C22:C26)</f>
        <v>4.069088349987009</v>
      </c>
      <c r="D28" s="14">
        <f>_xlfn.STDEV.S(D22:D26)</f>
        <v>1.5019584602656379E-5</v>
      </c>
      <c r="E28" s="8">
        <f>SQRT(2)*D28*$B$13/C28</f>
        <v>1.3050159163019019E-6</v>
      </c>
      <c r="F28" s="14">
        <f>_xlfn.STDEV.S(F22:F26)</f>
        <v>1.0922784376990401E-7</v>
      </c>
    </row>
    <row r="30" spans="1:10" x14ac:dyDescent="0.25">
      <c r="A30" s="13" t="s">
        <v>31</v>
      </c>
      <c r="C30" s="13">
        <f t="array" ref="C30:G31">TRANSPOSE(A32:B36)</f>
        <v>1.095590799270341E-7</v>
      </c>
      <c r="D30" s="13">
        <v>1.1095268398525001E-7</v>
      </c>
      <c r="E30" s="13">
        <v>1.0994472325412362E-7</v>
      </c>
      <c r="F30" s="13">
        <v>1.0966922191051032E-7</v>
      </c>
      <c r="G30" s="13">
        <v>1.0934154631930479E-7</v>
      </c>
    </row>
    <row r="31" spans="1:10" x14ac:dyDescent="0.25">
      <c r="B31" s="13" t="s">
        <v>25</v>
      </c>
      <c r="C31" s="13">
        <v>5.7789844826097423E-7</v>
      </c>
      <c r="D31" s="13">
        <v>7.7371428461082599E-7</v>
      </c>
      <c r="E31" s="13">
        <v>6.6267055419642709E-7</v>
      </c>
      <c r="F31" s="13">
        <v>6.0813044074815428E-7</v>
      </c>
      <c r="G31" s="13">
        <v>4.7730936201059357E-7</v>
      </c>
    </row>
    <row r="32" spans="1:10" x14ac:dyDescent="0.25">
      <c r="A32" s="13">
        <f>I22</f>
        <v>1.095590799270341E-7</v>
      </c>
      <c r="B32" s="5">
        <f>F22</f>
        <v>5.7789844826097423E-7</v>
      </c>
      <c r="C32" s="13">
        <f t="shared" ref="C32:G36" si="6">(C$31-$B32)/SQRT(C$30^2+$A32^2)</f>
        <v>0</v>
      </c>
      <c r="D32" s="13">
        <f t="shared" si="6"/>
        <v>1.2558054792796738</v>
      </c>
      <c r="E32" s="13">
        <f t="shared" si="6"/>
        <v>0.54616674137266641</v>
      </c>
      <c r="F32" s="13">
        <f t="shared" si="6"/>
        <v>0.19502266832641793</v>
      </c>
      <c r="G32" s="13">
        <f t="shared" si="6"/>
        <v>-0.64985825851563261</v>
      </c>
    </row>
    <row r="33" spans="1:12" x14ac:dyDescent="0.25">
      <c r="A33" s="13">
        <f>I23</f>
        <v>1.1095268398525001E-7</v>
      </c>
      <c r="B33" s="5">
        <f>F23</f>
        <v>7.7371428461082599E-7</v>
      </c>
      <c r="C33" s="13">
        <f t="shared" si="6"/>
        <v>-1.2558054792796738</v>
      </c>
      <c r="D33" s="13">
        <f t="shared" si="6"/>
        <v>0</v>
      </c>
      <c r="E33" s="13">
        <f t="shared" si="6"/>
        <v>-0.71090881816955553</v>
      </c>
      <c r="F33" s="13">
        <f t="shared" si="6"/>
        <v>-1.0613948525530088</v>
      </c>
      <c r="G33" s="13">
        <f t="shared" si="6"/>
        <v>-1.9027672706169878</v>
      </c>
    </row>
    <row r="34" spans="1:12" x14ac:dyDescent="0.25">
      <c r="A34" s="13">
        <f>I24</f>
        <v>1.0994472325412362E-7</v>
      </c>
      <c r="B34" s="5">
        <f>F24</f>
        <v>6.6267055419642709E-7</v>
      </c>
      <c r="C34" s="13">
        <f t="shared" si="6"/>
        <v>-0.54616674137266641</v>
      </c>
      <c r="D34" s="13">
        <f t="shared" si="6"/>
        <v>0.71090881816955553</v>
      </c>
      <c r="E34" s="13">
        <f t="shared" si="6"/>
        <v>0</v>
      </c>
      <c r="F34" s="13">
        <f t="shared" si="6"/>
        <v>-0.35121315899386651</v>
      </c>
      <c r="G34" s="13">
        <f t="shared" si="6"/>
        <v>-1.1954205831722731</v>
      </c>
    </row>
    <row r="35" spans="1:12" x14ac:dyDescent="0.25">
      <c r="A35" s="13">
        <f>I25</f>
        <v>1.0966922191051032E-7</v>
      </c>
      <c r="B35" s="5">
        <f>F25</f>
        <v>6.0813044074815428E-7</v>
      </c>
      <c r="C35" s="13">
        <f t="shared" si="6"/>
        <v>-0.19502266832641793</v>
      </c>
      <c r="D35" s="13">
        <f t="shared" si="6"/>
        <v>1.0613948525530088</v>
      </c>
      <c r="E35" s="13">
        <f t="shared" si="6"/>
        <v>0.35121315899386651</v>
      </c>
      <c r="F35" s="13">
        <f t="shared" si="6"/>
        <v>0</v>
      </c>
      <c r="G35" s="13">
        <f t="shared" si="6"/>
        <v>-0.84474721594427815</v>
      </c>
    </row>
    <row r="36" spans="1:12" x14ac:dyDescent="0.25">
      <c r="A36" s="13">
        <f>I26</f>
        <v>1.0934154631930479E-7</v>
      </c>
      <c r="B36" s="5">
        <f>F26</f>
        <v>4.7730936201059357E-7</v>
      </c>
      <c r="C36" s="13">
        <f t="shared" si="6"/>
        <v>0.64985825851563261</v>
      </c>
      <c r="D36" s="13">
        <f t="shared" si="6"/>
        <v>1.9027672706169878</v>
      </c>
      <c r="E36" s="13">
        <f t="shared" si="6"/>
        <v>1.1954205831722731</v>
      </c>
      <c r="F36" s="13">
        <f t="shared" si="6"/>
        <v>0.84474721594427815</v>
      </c>
      <c r="G36" s="13">
        <f t="shared" si="6"/>
        <v>0</v>
      </c>
    </row>
    <row r="39" spans="1:12" x14ac:dyDescent="0.25">
      <c r="A39" s="13" t="s">
        <v>7</v>
      </c>
    </row>
    <row r="40" spans="1:12" x14ac:dyDescent="0.25">
      <c r="B40" s="13" t="s">
        <v>36</v>
      </c>
      <c r="C40" s="13" t="s">
        <v>27</v>
      </c>
      <c r="D40" s="13" t="s">
        <v>24</v>
      </c>
      <c r="E40" s="13" t="s">
        <v>29</v>
      </c>
      <c r="F40" s="13" t="s">
        <v>37</v>
      </c>
      <c r="G40" s="13" t="s">
        <v>39</v>
      </c>
      <c r="H40" s="13" t="s">
        <v>40</v>
      </c>
      <c r="I40" s="13" t="s">
        <v>41</v>
      </c>
      <c r="J40" s="13" t="s">
        <v>42</v>
      </c>
      <c r="K40" s="13" t="s">
        <v>2</v>
      </c>
      <c r="L40" s="13" t="s">
        <v>43</v>
      </c>
    </row>
    <row r="41" spans="1:12" x14ac:dyDescent="0.25">
      <c r="A41" s="17">
        <v>1</v>
      </c>
      <c r="B41" s="19">
        <v>61.69</v>
      </c>
      <c r="C41" s="13">
        <f>B41-B26</f>
        <v>1.7100000000000009</v>
      </c>
      <c r="D41" s="14">
        <f>$B$12/C41</f>
        <v>2.9239766081871329E-4</v>
      </c>
      <c r="E41" s="14">
        <f>SQRT(2)*D41*$B$13/C41</f>
        <v>6.0455078587133379E-5</v>
      </c>
      <c r="F41" s="14">
        <f>(4*PI()/3)*$F$27^3*($B$9-$B$8)*($B$6/$E$18)*(1+ABS(D41)/$D$27)</f>
        <v>1.5236653275269429E-18</v>
      </c>
      <c r="G41" s="14">
        <f>F41*3/$F$27</f>
        <v>7.3732327858292342E-12</v>
      </c>
      <c r="H41" s="14">
        <f>F41/$E$18</f>
        <v>3.7239583498438115E-23</v>
      </c>
      <c r="I41" s="13">
        <f>(4*PI()/3)*$F$27^3*($B$9-$B$8)*($B$6/$E$18)*(1/$D$27)</f>
        <v>4.5084748053935347E-15</v>
      </c>
      <c r="J41" s="14">
        <f>(4*PI()/3)*$F$27^3*($B$9-$B$8)*($B$6/$E$18)*(ABS(D41)/$D$27^2)</f>
        <v>2.8935921308758912E-14</v>
      </c>
      <c r="K41" s="13">
        <f>SQRT(G41^2*$I$27^2+H41^2*$F$18^2+I41^2*E41^2+J41^2*$E$28^2)</f>
        <v>8.5427931150038163E-19</v>
      </c>
      <c r="L41" s="45">
        <f>K41/F41</f>
        <v>0.56067385407198311</v>
      </c>
    </row>
    <row r="42" spans="1:12" x14ac:dyDescent="0.25">
      <c r="A42" s="17">
        <v>2</v>
      </c>
      <c r="B42" s="19">
        <v>62.33</v>
      </c>
      <c r="C42" s="13">
        <f>B42-B41</f>
        <v>0.64000000000000057</v>
      </c>
      <c r="D42" s="14">
        <f t="shared" ref="D42:D45" si="7">$B$12/C42</f>
        <v>7.8124999999999928E-4</v>
      </c>
      <c r="E42" s="14">
        <f t="shared" ref="E42:E44" si="8">SQRT(2)*D42*$B$13/C42</f>
        <v>4.3158372875155414E-4</v>
      </c>
      <c r="F42" s="14">
        <f t="shared" ref="F42:F45" si="9">(4*PI()/3)*$F$27^3*($B$9-$B$8)*($B$6/$E$18)*(1+ABS(D42)/$D$27)</f>
        <v>3.7276437822834661E-18</v>
      </c>
      <c r="G42" s="14">
        <f t="shared" ref="G42:G45" si="10">F42*3/$F$27</f>
        <v>1.803859735657004E-11</v>
      </c>
      <c r="H42" s="14">
        <f t="shared" ref="H42:H45" si="11">F42/$E$18</f>
        <v>9.110655691567815E-23</v>
      </c>
      <c r="I42" s="13">
        <f t="shared" ref="I42:I45" si="12">(4*PI()/3)*$F$27^3*($B$9-$B$8)*($B$6/$E$18)*(1/$D$27)</f>
        <v>4.5084748053935347E-15</v>
      </c>
      <c r="J42" s="14">
        <f t="shared" ref="J42:J45" si="13">(4*PI()/3)*$F$27^3*($B$9-$B$8)*($B$6/$E$18)*(ABS(D42)/$D$27^2)</f>
        <v>7.731316474684019E-14</v>
      </c>
      <c r="K42" s="13">
        <f t="shared" ref="K42:K45" si="14">SQRT(G42^2*$I$27^2+H42^2*$F$18^2+I42^2*E42^2+J42^2*$E$28^2)</f>
        <v>2.7768946450124004E-18</v>
      </c>
      <c r="L42" s="45">
        <f t="shared" ref="L42:L45" si="15">K42/F42</f>
        <v>0.74494635410450638</v>
      </c>
    </row>
    <row r="43" spans="1:12" x14ac:dyDescent="0.25">
      <c r="A43" s="17">
        <v>3</v>
      </c>
      <c r="B43" s="19">
        <v>63.13</v>
      </c>
      <c r="C43" s="13">
        <f>B43-B42</f>
        <v>0.80000000000000426</v>
      </c>
      <c r="D43" s="14">
        <f t="shared" si="7"/>
        <v>6.2499999999999665E-4</v>
      </c>
      <c r="E43" s="14">
        <f t="shared" si="8"/>
        <v>2.762135864009922E-4</v>
      </c>
      <c r="F43" s="14">
        <f t="shared" si="9"/>
        <v>3.0231945939407138E-18</v>
      </c>
      <c r="G43" s="14">
        <f t="shared" si="10"/>
        <v>1.46296677461089E-11</v>
      </c>
      <c r="H43" s="14">
        <f t="shared" si="11"/>
        <v>7.3889262608485225E-23</v>
      </c>
      <c r="I43" s="13">
        <f t="shared" si="12"/>
        <v>4.5084748053935347E-15</v>
      </c>
      <c r="J43" s="14">
        <f t="shared" si="13"/>
        <v>6.1850531797471879E-14</v>
      </c>
      <c r="K43" s="13">
        <f t="shared" si="14"/>
        <v>2.0328119168151799E-18</v>
      </c>
      <c r="L43" s="45">
        <f t="shared" si="15"/>
        <v>0.67240525002574292</v>
      </c>
    </row>
    <row r="44" spans="1:12" x14ac:dyDescent="0.25">
      <c r="A44" s="17">
        <v>4</v>
      </c>
      <c r="B44" s="19">
        <v>64.150000000000006</v>
      </c>
      <c r="C44" s="13">
        <f>B44-B43</f>
        <v>1.0200000000000031</v>
      </c>
      <c r="D44" s="14">
        <f t="shared" si="7"/>
        <v>4.9019607843137102E-4</v>
      </c>
      <c r="E44" s="14">
        <f t="shared" si="8"/>
        <v>1.6991224076954613E-4</v>
      </c>
      <c r="F44" s="14">
        <f t="shared" si="9"/>
        <v>2.4154345098803191E-18</v>
      </c>
      <c r="G44" s="14">
        <f t="shared" si="10"/>
        <v>1.1688630435122905E-11</v>
      </c>
      <c r="H44" s="14">
        <f t="shared" si="11"/>
        <v>5.9035126343456497E-23</v>
      </c>
      <c r="I44" s="13">
        <f t="shared" si="12"/>
        <v>4.5084748053935347E-15</v>
      </c>
      <c r="J44" s="14">
        <f t="shared" si="13"/>
        <v>4.8510221017625113E-14</v>
      </c>
      <c r="K44" s="13">
        <f t="shared" si="14"/>
        <v>1.4948586960424845E-18</v>
      </c>
      <c r="L44" s="45">
        <f t="shared" si="15"/>
        <v>0.61887775881638474</v>
      </c>
    </row>
    <row r="45" spans="1:12" x14ac:dyDescent="0.25">
      <c r="A45" s="17">
        <v>5</v>
      </c>
      <c r="B45" s="19">
        <v>66.78</v>
      </c>
      <c r="C45" s="13">
        <f>B45-B44</f>
        <v>2.6299999999999955</v>
      </c>
      <c r="D45" s="14">
        <f t="shared" si="7"/>
        <v>1.9011406844106498E-4</v>
      </c>
      <c r="E45" s="14">
        <f>SQRT(2)*D45*$B$13/C45</f>
        <v>2.5557214257346138E-5</v>
      </c>
      <c r="F45" s="14">
        <f t="shared" si="9"/>
        <v>1.0625223282871733E-18</v>
      </c>
      <c r="G45" s="14">
        <f t="shared" si="10"/>
        <v>5.1416963588180528E-12</v>
      </c>
      <c r="H45" s="14">
        <f t="shared" si="11"/>
        <v>2.5968884536755591E-23</v>
      </c>
      <c r="I45" s="13">
        <f t="shared" si="12"/>
        <v>4.5084748053935347E-15</v>
      </c>
      <c r="J45" s="14">
        <f t="shared" si="13"/>
        <v>1.8813849976417437E-14</v>
      </c>
      <c r="K45" s="13">
        <f t="shared" si="14"/>
        <v>5.7615296660513704E-19</v>
      </c>
      <c r="L45" s="45">
        <f t="shared" si="15"/>
        <v>0.542250220316704</v>
      </c>
    </row>
    <row r="49" spans="1:12" x14ac:dyDescent="0.25">
      <c r="A49" s="13" t="s">
        <v>7</v>
      </c>
    </row>
    <row r="50" spans="1:12" x14ac:dyDescent="0.25">
      <c r="B50" s="13" t="s">
        <v>23</v>
      </c>
      <c r="C50" s="13" t="s">
        <v>27</v>
      </c>
      <c r="D50" s="13" t="s">
        <v>24</v>
      </c>
      <c r="E50" s="13" t="s">
        <v>29</v>
      </c>
      <c r="F50" s="13" t="s">
        <v>37</v>
      </c>
      <c r="G50" s="13" t="s">
        <v>39</v>
      </c>
      <c r="H50" s="13" t="s">
        <v>40</v>
      </c>
      <c r="I50" s="13" t="s">
        <v>41</v>
      </c>
      <c r="J50" s="13" t="s">
        <v>42</v>
      </c>
      <c r="K50" s="13" t="s">
        <v>2</v>
      </c>
      <c r="L50" s="13" t="s">
        <v>43</v>
      </c>
    </row>
    <row r="51" spans="1:12" x14ac:dyDescent="0.25">
      <c r="A51" s="17">
        <v>6</v>
      </c>
      <c r="B51" s="20">
        <v>67.819999999999993</v>
      </c>
      <c r="C51" s="19">
        <f>B51-B45</f>
        <v>1.039999999999992</v>
      </c>
      <c r="D51" s="14">
        <f>$B$12/C51</f>
        <v>4.8076923076923448E-4</v>
      </c>
      <c r="E51" s="14">
        <f>SQRT(2)*D51*$B$13/C51</f>
        <v>1.6343999195325408E-4</v>
      </c>
      <c r="F51" s="14">
        <f>-(4*PI()/3)*$F$27^3*($B$9-$B$8)*($B$6/$E$18)*(1-ABS(D51)/$D$27)</f>
        <v>1.9621381235617542E-18</v>
      </c>
      <c r="G51" s="14">
        <f>F51*3/$F$27</f>
        <v>9.4950648817695505E-12</v>
      </c>
      <c r="H51" s="14">
        <f>F51/$E$18</f>
        <v>4.795620479626262E-23</v>
      </c>
      <c r="I51" s="13">
        <f>-(4*PI()/3)*$F$27^3*($B$9-$B$8)*($B$6/$E$18)*(-1/$D$27)</f>
        <v>4.5084748053935347E-15</v>
      </c>
      <c r="J51" s="14">
        <f>-(4*PI()/3)*$F$27^3*($B$9-$B$8)*($B$6/$E$18)*(-ABS(D51)/$D$27^2)</f>
        <v>4.757733215190207E-14</v>
      </c>
      <c r="K51" s="13">
        <f>SQRT(G51^2*$I$27^2+H51^2*$F$18^2+I51^2*E51^2+J51^2*$E$28^2)</f>
        <v>1.277311683200391E-18</v>
      </c>
      <c r="L51" s="53">
        <f>K51/F51</f>
        <v>0.65097949418655709</v>
      </c>
    </row>
    <row r="52" spans="1:12" x14ac:dyDescent="0.25">
      <c r="A52" s="17">
        <v>7</v>
      </c>
      <c r="B52" s="20">
        <v>68.650000000000006</v>
      </c>
      <c r="C52" s="19">
        <f>B52-B51</f>
        <v>0.83000000000001251</v>
      </c>
      <c r="D52" s="14">
        <f t="shared" ref="D52:D55" si="16">$B$12/C52</f>
        <v>6.0240963855420781E-4</v>
      </c>
      <c r="E52" s="14">
        <f t="shared" ref="E52:E54" si="17">SQRT(2)*D52*$B$13/C52</f>
        <v>2.5660719305651268E-4</v>
      </c>
      <c r="F52" s="14">
        <f t="shared" ref="F52:F55" si="18">-(4*PI()/3)*$F$27^3*($B$9-$B$8)*($B$6/$E$18)*(1-ABS(D52)/$D$27)</f>
        <v>2.510550837378102E-18</v>
      </c>
      <c r="G52" s="14">
        <f t="shared" ref="G52:G55" si="19">F52*3/$F$27</f>
        <v>1.2148911844500792E-11</v>
      </c>
      <c r="H52" s="14">
        <f t="shared" ref="H52:H55" si="20">F52/$E$18</f>
        <v>6.1359844479339805E-23</v>
      </c>
      <c r="I52" s="13">
        <f t="shared" ref="I52:I55" si="21">-(4*PI()/3)*$F$27^3*($B$9-$B$8)*($B$6/$E$18)*(-1/$D$27)</f>
        <v>4.5084748053935347E-15</v>
      </c>
      <c r="J52" s="14">
        <f t="shared" ref="J52:J55" si="22">-(4*PI()/3)*$F$27^3*($B$9-$B$8)*($B$6/$E$18)*(-ABS(D52)/$D$27^2)</f>
        <v>5.9614970407201239E-14</v>
      </c>
      <c r="K52" s="13">
        <f t="shared" ref="K52:K55" si="23">SQRT(G52^2*$I$27^2+H52^2*$F$18^2+I52^2*E52^2+J52^2*$E$28^2)</f>
        <v>1.7664268559790732E-18</v>
      </c>
      <c r="L52" s="53">
        <f t="shared" ref="L52:L55" si="24">K52/F52</f>
        <v>0.7036013091946961</v>
      </c>
    </row>
    <row r="53" spans="1:12" x14ac:dyDescent="0.25">
      <c r="A53" s="17">
        <v>8</v>
      </c>
      <c r="B53" s="20">
        <v>69.44</v>
      </c>
      <c r="C53" s="19">
        <f>B53-B52</f>
        <v>0.78999999999999204</v>
      </c>
      <c r="D53" s="14">
        <f t="shared" si="16"/>
        <v>6.329113924050697E-4</v>
      </c>
      <c r="E53" s="14">
        <f t="shared" si="17"/>
        <v>2.8325059332901854E-4</v>
      </c>
      <c r="F53" s="14">
        <f t="shared" si="18"/>
        <v>2.6480672261350282E-18</v>
      </c>
      <c r="G53" s="14">
        <f t="shared" si="19"/>
        <v>1.2814373168489264E-11</v>
      </c>
      <c r="H53" s="14">
        <f t="shared" si="20"/>
        <v>6.4720853586129152E-23</v>
      </c>
      <c r="I53" s="13">
        <f t="shared" si="21"/>
        <v>4.5084748053935347E-15</v>
      </c>
      <c r="J53" s="14">
        <f t="shared" si="22"/>
        <v>6.2633449921491481E-14</v>
      </c>
      <c r="K53" s="13">
        <f t="shared" si="23"/>
        <v>1.9008221798404304E-18</v>
      </c>
      <c r="L53" s="53">
        <f t="shared" si="24"/>
        <v>0.71781492595063945</v>
      </c>
    </row>
    <row r="54" spans="1:12" x14ac:dyDescent="0.25">
      <c r="A54" s="17">
        <v>9</v>
      </c>
      <c r="B54" s="20">
        <v>70.099999999999994</v>
      </c>
      <c r="C54" s="19">
        <f>B54-B53</f>
        <v>0.65999999999999659</v>
      </c>
      <c r="D54" s="14">
        <f t="shared" si="16"/>
        <v>7.5757575757576148E-4</v>
      </c>
      <c r="E54" s="14">
        <f t="shared" si="17"/>
        <v>4.0582345109421188E-4</v>
      </c>
      <c r="F54" s="14">
        <f t="shared" si="18"/>
        <v>3.210113375637471E-18</v>
      </c>
      <c r="G54" s="14">
        <f t="shared" si="19"/>
        <v>1.5534194261607373E-11</v>
      </c>
      <c r="H54" s="14">
        <f t="shared" si="20"/>
        <v>7.8457705200613203E-23</v>
      </c>
      <c r="I54" s="13">
        <f t="shared" si="21"/>
        <v>4.5084748053935347E-15</v>
      </c>
      <c r="J54" s="14">
        <f t="shared" si="22"/>
        <v>7.4970341572693974E-14</v>
      </c>
      <c r="K54" s="13">
        <f t="shared" si="23"/>
        <v>2.5020926220843045E-18</v>
      </c>
      <c r="L54" s="53">
        <f t="shared" si="24"/>
        <v>0.77944057710654335</v>
      </c>
    </row>
    <row r="55" spans="1:12" x14ac:dyDescent="0.25">
      <c r="A55" s="17">
        <v>10</v>
      </c>
      <c r="B55" s="20">
        <v>70.81</v>
      </c>
      <c r="C55" s="19">
        <f>B55-B54</f>
        <v>0.71000000000000796</v>
      </c>
      <c r="D55" s="14">
        <f t="shared" si="16"/>
        <v>7.0422535211266818E-4</v>
      </c>
      <c r="E55" s="14">
        <f>SQRT(2)*D55*$B$13/C55</f>
        <v>3.5067783236784948E-4</v>
      </c>
      <c r="F55" s="14">
        <f t="shared" si="18"/>
        <v>2.9695844167495857E-18</v>
      </c>
      <c r="G55" s="14">
        <f t="shared" si="19"/>
        <v>1.4370240489362617E-11</v>
      </c>
      <c r="H55" s="14">
        <f t="shared" si="20"/>
        <v>7.257898755410995E-23</v>
      </c>
      <c r="I55" s="13">
        <f t="shared" si="21"/>
        <v>4.5084748053935347E-15</v>
      </c>
      <c r="J55" s="14">
        <f t="shared" si="22"/>
        <v>6.9690740053489032E-14</v>
      </c>
      <c r="K55" s="13">
        <f t="shared" si="23"/>
        <v>2.2343720825460396E-18</v>
      </c>
      <c r="L55" s="53">
        <f t="shared" si="24"/>
        <v>0.75241911627207203</v>
      </c>
    </row>
    <row r="56" spans="1:12" x14ac:dyDescent="0.25">
      <c r="B56" s="20"/>
      <c r="L56" s="53"/>
    </row>
    <row r="59" spans="1:12" x14ac:dyDescent="0.25">
      <c r="B59" s="13" t="s">
        <v>38</v>
      </c>
    </row>
    <row r="60" spans="1:12" x14ac:dyDescent="0.25">
      <c r="A60" s="14"/>
      <c r="B60" s="13" t="s">
        <v>44</v>
      </c>
      <c r="C60" s="13" t="s">
        <v>45</v>
      </c>
    </row>
    <row r="61" spans="1:12" x14ac:dyDescent="0.25">
      <c r="A61" s="13">
        <v>1</v>
      </c>
      <c r="B61" s="14">
        <f>F41</f>
        <v>1.5236653275269429E-18</v>
      </c>
      <c r="C61" s="13">
        <f>K41</f>
        <v>8.5427931150038163E-19</v>
      </c>
    </row>
    <row r="62" spans="1:12" x14ac:dyDescent="0.25">
      <c r="A62" s="13">
        <v>2</v>
      </c>
      <c r="B62" s="14">
        <f t="shared" ref="B62:B65" si="25">F42</f>
        <v>3.7276437822834661E-18</v>
      </c>
      <c r="C62" s="13">
        <f t="shared" ref="C62:C65" si="26">K42</f>
        <v>2.7768946450124004E-18</v>
      </c>
    </row>
    <row r="63" spans="1:12" x14ac:dyDescent="0.25">
      <c r="A63" s="13">
        <v>3</v>
      </c>
      <c r="B63" s="14">
        <f t="shared" si="25"/>
        <v>3.0231945939407138E-18</v>
      </c>
      <c r="C63" s="13">
        <f t="shared" si="26"/>
        <v>2.0328119168151799E-18</v>
      </c>
    </row>
    <row r="64" spans="1:12" x14ac:dyDescent="0.25">
      <c r="A64" s="13">
        <v>4</v>
      </c>
      <c r="B64" s="14">
        <f t="shared" si="25"/>
        <v>2.4154345098803191E-18</v>
      </c>
      <c r="C64" s="13">
        <f t="shared" si="26"/>
        <v>1.4948586960424845E-18</v>
      </c>
    </row>
    <row r="65" spans="1:3" x14ac:dyDescent="0.25">
      <c r="A65" s="13">
        <v>5</v>
      </c>
      <c r="B65" s="14">
        <f t="shared" si="25"/>
        <v>1.0625223282871733E-18</v>
      </c>
      <c r="C65" s="13">
        <f t="shared" si="26"/>
        <v>5.7615296660513704E-19</v>
      </c>
    </row>
    <row r="66" spans="1:3" x14ac:dyDescent="0.25">
      <c r="A66" s="13">
        <v>6</v>
      </c>
      <c r="B66" s="14">
        <f>F51</f>
        <v>1.9621381235617542E-18</v>
      </c>
      <c r="C66" s="13">
        <f>K51</f>
        <v>1.277311683200391E-18</v>
      </c>
    </row>
    <row r="67" spans="1:3" x14ac:dyDescent="0.25">
      <c r="A67" s="13">
        <v>7</v>
      </c>
      <c r="B67" s="14">
        <f t="shared" ref="B67:B70" si="27">F52</f>
        <v>2.510550837378102E-18</v>
      </c>
      <c r="C67" s="13">
        <f t="shared" ref="C67:C70" si="28">K52</f>
        <v>1.7664268559790732E-18</v>
      </c>
    </row>
    <row r="68" spans="1:3" x14ac:dyDescent="0.25">
      <c r="A68" s="13">
        <v>8</v>
      </c>
      <c r="B68" s="14">
        <f t="shared" si="27"/>
        <v>2.6480672261350282E-18</v>
      </c>
      <c r="C68" s="13">
        <f t="shared" si="28"/>
        <v>1.9008221798404304E-18</v>
      </c>
    </row>
    <row r="69" spans="1:3" x14ac:dyDescent="0.25">
      <c r="A69" s="13">
        <v>9</v>
      </c>
      <c r="B69" s="14">
        <f t="shared" si="27"/>
        <v>3.210113375637471E-18</v>
      </c>
      <c r="C69" s="13">
        <f t="shared" si="28"/>
        <v>2.5020926220843045E-18</v>
      </c>
    </row>
    <row r="70" spans="1:3" x14ac:dyDescent="0.25">
      <c r="A70" s="13">
        <v>10</v>
      </c>
      <c r="B70" s="14">
        <f t="shared" si="27"/>
        <v>2.9695844167495857E-18</v>
      </c>
      <c r="C70" s="13">
        <f t="shared" si="28"/>
        <v>2.2343720825460396E-18</v>
      </c>
    </row>
  </sheetData>
  <mergeCells count="2">
    <mergeCell ref="A1:C2"/>
    <mergeCell ref="A14:C15"/>
  </mergeCells>
  <conditionalFormatting sqref="C32:G36">
    <cfRule type="cellIs" dxfId="66" priority="7" operator="notBetween">
      <formula>-1.96</formula>
      <formula>1.96</formula>
    </cfRule>
  </conditionalFormatting>
  <conditionalFormatting sqref="L41:L45">
    <cfRule type="cellIs" priority="6" operator="greaterThan">
      <formula>0.04</formula>
    </cfRule>
  </conditionalFormatting>
  <conditionalFormatting sqref="L51:L56">
    <cfRule type="cellIs" priority="2" operator="greaterThan">
      <formula>0.04</formula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5" operator="greaterThan" id="{546B101D-A7DA-401D-88E3-FB33458B79B9}">
            <xm:f>Dati!$B$14</xm:f>
            <x14:dxf>
              <fill>
                <patternFill>
                  <bgColor theme="5"/>
                </patternFill>
              </fill>
            </x14:dxf>
          </x14:cfRule>
          <xm:sqref>L41:L45</xm:sqref>
        </x14:conditionalFormatting>
        <x14:conditionalFormatting xmlns:xm="http://schemas.microsoft.com/office/excel/2006/main">
          <x14:cfRule type="cellIs" priority="1" operator="greaterThan" id="{F45E56B6-95C3-455E-8266-D135D6376C18}">
            <xm:f>Dati!$B$14</xm:f>
            <x14:dxf>
              <fill>
                <patternFill>
                  <bgColor theme="5"/>
                </patternFill>
              </fill>
            </x14:dxf>
          </x14:cfRule>
          <xm:sqref>L51:L56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topLeftCell="A10" workbookViewId="0">
      <selection activeCell="C25" sqref="C25"/>
    </sheetView>
  </sheetViews>
  <sheetFormatPr defaultRowHeight="15" x14ac:dyDescent="0.25"/>
  <cols>
    <col min="1" max="1" width="13.140625" style="20" customWidth="1"/>
    <col min="2" max="2" width="9.140625" style="20"/>
    <col min="3" max="5" width="12" style="20" customWidth="1"/>
    <col min="6" max="7" width="12.140625" style="20" customWidth="1"/>
    <col min="8" max="9" width="12" style="20" customWidth="1"/>
    <col min="10" max="10" width="9.140625" style="20"/>
    <col min="11" max="11" width="12" style="20" customWidth="1"/>
    <col min="12" max="16384" width="9.140625" style="20"/>
  </cols>
  <sheetData>
    <row r="1" spans="1:5" x14ac:dyDescent="0.25">
      <c r="A1" s="187" t="str">
        <f>[1]Dati!A1</f>
        <v>Costanti varie</v>
      </c>
      <c r="B1" s="187"/>
      <c r="C1" s="187"/>
    </row>
    <row r="2" spans="1:5" x14ac:dyDescent="0.25">
      <c r="A2" s="187"/>
      <c r="B2" s="187"/>
      <c r="C2" s="187"/>
    </row>
    <row r="4" spans="1:5" x14ac:dyDescent="0.25">
      <c r="B4" s="20" t="s">
        <v>1</v>
      </c>
      <c r="C4" s="20" t="s">
        <v>2</v>
      </c>
    </row>
    <row r="5" spans="1:5" x14ac:dyDescent="0.25">
      <c r="A5" s="20" t="str">
        <f>[1]Dati!A5</f>
        <v>d</v>
      </c>
      <c r="B5" s="21">
        <f>Dati!B5</f>
        <v>7.4300000000000008E-3</v>
      </c>
      <c r="C5" s="20">
        <f>[1]Dati!C5</f>
        <v>1.0000000000000001E-5</v>
      </c>
    </row>
    <row r="6" spans="1:5" x14ac:dyDescent="0.25">
      <c r="A6" s="20" t="str">
        <f>[1]Dati!A6</f>
        <v>g</v>
      </c>
      <c r="B6" s="20">
        <f>[1]Dati!B6</f>
        <v>9.8059999999999992</v>
      </c>
      <c r="C6" s="20">
        <f>[1]Dati!C6</f>
        <v>0</v>
      </c>
    </row>
    <row r="7" spans="1:5" x14ac:dyDescent="0.25">
      <c r="A7" s="20" t="str">
        <f>[1]Dati!A7</f>
        <v>pressione</v>
      </c>
      <c r="B7" s="20">
        <f>[1]Dati!B7</f>
        <v>101325</v>
      </c>
      <c r="C7" s="20">
        <f>[1]Dati!C7</f>
        <v>0</v>
      </c>
    </row>
    <row r="8" spans="1:5" x14ac:dyDescent="0.25">
      <c r="A8" s="20" t="str">
        <f>[1]Dati!A8</f>
        <v>densità aria</v>
      </c>
      <c r="B8" s="20">
        <v>0</v>
      </c>
      <c r="C8" s="20">
        <f>[1]Dati!C8</f>
        <v>0</v>
      </c>
    </row>
    <row r="9" spans="1:5" x14ac:dyDescent="0.25">
      <c r="A9" s="20" t="str">
        <f>[1]Dati!A9</f>
        <v>densità olio</v>
      </c>
      <c r="B9" s="20">
        <v>858.7</v>
      </c>
      <c r="C9" s="20">
        <f>[1]Dati!C9</f>
        <v>0</v>
      </c>
    </row>
    <row r="10" spans="1:5" x14ac:dyDescent="0.25">
      <c r="A10" s="20" t="str">
        <f>[1]Dati!A10</f>
        <v>cst corr vis</v>
      </c>
      <c r="B10" s="20">
        <f>[1]Dati!B10</f>
        <v>8.2000000000000007E-3</v>
      </c>
      <c r="C10" s="20">
        <f>[1]Dati!C10</f>
        <v>0</v>
      </c>
    </row>
    <row r="11" spans="1:5" x14ac:dyDescent="0.25">
      <c r="A11" s="20" t="str">
        <f>[1]Dati!A11</f>
        <v>e</v>
      </c>
      <c r="B11" s="20">
        <f>[1]Dati!B11</f>
        <v>1.6021766200000001E-19</v>
      </c>
      <c r="C11" s="20">
        <f>[1]Dati!C11</f>
        <v>0</v>
      </c>
    </row>
    <row r="12" spans="1:5" x14ac:dyDescent="0.25">
      <c r="A12" s="20" t="str">
        <f>[1]Dati!A12</f>
        <v>deltax</v>
      </c>
      <c r="B12" s="20">
        <f>[1]Dati!B12</f>
        <v>5.0000000000000001E-4</v>
      </c>
      <c r="C12" s="20">
        <f>[1]Dati!C12</f>
        <v>0</v>
      </c>
    </row>
    <row r="13" spans="1:5" x14ac:dyDescent="0.25">
      <c r="A13" s="20" t="s">
        <v>30</v>
      </c>
      <c r="B13" s="20">
        <f>Dati!B13</f>
        <v>0.25</v>
      </c>
    </row>
    <row r="14" spans="1:5" x14ac:dyDescent="0.25">
      <c r="A14" s="187" t="s">
        <v>17</v>
      </c>
      <c r="B14" s="187"/>
      <c r="C14" s="187"/>
      <c r="D14" s="23"/>
    </row>
    <row r="15" spans="1:5" x14ac:dyDescent="0.25">
      <c r="A15" s="187"/>
      <c r="B15" s="187"/>
      <c r="C15" s="187"/>
      <c r="D15" s="23"/>
    </row>
    <row r="16" spans="1:5" x14ac:dyDescent="0.25">
      <c r="A16" s="20" t="s">
        <v>18</v>
      </c>
      <c r="B16" s="20">
        <v>304</v>
      </c>
      <c r="C16" s="20">
        <f>B16/100</f>
        <v>3.04</v>
      </c>
      <c r="D16" s="20" t="s">
        <v>19</v>
      </c>
      <c r="E16" s="20">
        <f>(1.8+(B18-15)*0.004765)*0.00001</f>
        <v>1.8285900000000001E-5</v>
      </c>
    </row>
    <row r="17" spans="1:10" x14ac:dyDescent="0.25">
      <c r="A17" s="20" t="s">
        <v>20</v>
      </c>
      <c r="E17" s="22"/>
    </row>
    <row r="18" spans="1:10" x14ac:dyDescent="0.25">
      <c r="A18" s="20" t="s">
        <v>21</v>
      </c>
      <c r="B18" s="20">
        <v>21</v>
      </c>
      <c r="C18" s="20">
        <v>0.5</v>
      </c>
      <c r="D18" s="20" t="s">
        <v>22</v>
      </c>
      <c r="E18" s="21">
        <f>B16/B5</f>
        <v>40915.208613728122</v>
      </c>
      <c r="F18" s="20">
        <f>SQRT((C16/B5)^2+(B16*C5/B5^2)^2)</f>
        <v>412.84121337929804</v>
      </c>
      <c r="G18" s="21"/>
    </row>
    <row r="21" spans="1:10" x14ac:dyDescent="0.25">
      <c r="B21" s="20" t="s">
        <v>23</v>
      </c>
      <c r="C21" s="20" t="s">
        <v>27</v>
      </c>
      <c r="D21" s="20" t="s">
        <v>24</v>
      </c>
      <c r="E21" s="20" t="s">
        <v>29</v>
      </c>
      <c r="F21" s="20" t="s">
        <v>25</v>
      </c>
      <c r="G21" s="20" t="s">
        <v>26</v>
      </c>
      <c r="H21" s="20" t="s">
        <v>28</v>
      </c>
      <c r="I21" s="20" t="s">
        <v>31</v>
      </c>
      <c r="J21" s="20" t="s">
        <v>32</v>
      </c>
    </row>
    <row r="22" spans="1:10" x14ac:dyDescent="0.25">
      <c r="A22" s="20">
        <v>1</v>
      </c>
      <c r="B22" s="25">
        <v>3.7</v>
      </c>
      <c r="C22" s="20">
        <f>B22</f>
        <v>3.7</v>
      </c>
      <c r="D22" s="21">
        <f>B12/B22</f>
        <v>1.3513513513513514E-4</v>
      </c>
      <c r="E22" s="21">
        <f>SQRT(2)*D22*$B$13/C22</f>
        <v>1.2912833841974937E-5</v>
      </c>
      <c r="F22" s="5">
        <f>(($B$10/(2*$B$7))^2+9*$E$16*D22/(2*$B$6*($B$9-$B$8)))^(1/2)-$B$10/(2*$B$7)</f>
        <v>1.109412003032771E-6</v>
      </c>
      <c r="G22" s="20">
        <f>(($B$10/(2*$B$7))^2+9*$E$16*D22/(2*$B$6*($B$9-$B$8)))^(-1/2)*(9*$E$16)/(4*$B$6*$B$9)</f>
        <v>4.2492721917354809E-3</v>
      </c>
      <c r="H22" s="20">
        <f>(($B$10/(2*$B$7))^2+9*$E$16*D22/(2*$B$6*($B$9-$B$8)))^(-1/2)*((9*D22)/(4*$B$6*$B$9))*0.00000004765</f>
        <v>1.4963369349578286E-9</v>
      </c>
      <c r="I22" s="20">
        <f>SQRT(G22^2*E22^2+H22^2*$C$18^2+$F$28^2)</f>
        <v>1.471192831866296E-7</v>
      </c>
      <c r="J22" s="21">
        <f>I22/F22</f>
        <v>0.13261014193505516</v>
      </c>
    </row>
    <row r="23" spans="1:10" x14ac:dyDescent="0.25">
      <c r="A23" s="20">
        <v>2</v>
      </c>
      <c r="B23" s="25">
        <v>7.61</v>
      </c>
      <c r="C23" s="20">
        <f>B23-B22</f>
        <v>3.91</v>
      </c>
      <c r="D23" s="21">
        <f>$B$12/(B23-B22)</f>
        <v>1.2787723785166239E-4</v>
      </c>
      <c r="E23" s="21">
        <f t="shared" ref="E23:E25" si="0">SQRT(2)*D23*$B$13/C23</f>
        <v>1.1563025836868995E-5</v>
      </c>
      <c r="F23" s="5">
        <f>(($B$10/(2*$B$7))^2+9*E16*D23/(2*$B$6*($B$9-$B$8)))^(1/2)-$B$10/(2*$B$7)</f>
        <v>1.0781461528368521E-6</v>
      </c>
      <c r="G23" s="20">
        <f t="shared" ref="G23:G27" si="1">(($B$10/(2*$B$7))^2+9*$E$16*D23/(2*$B$6*($B$9-$B$8)))^(-1/2)*(9*$E$16)/(4*$B$6*$B$9)</f>
        <v>4.3680420105142795E-3</v>
      </c>
      <c r="H23" s="20">
        <f t="shared" ref="H23:H27" si="2">(($B$10/(2*$B$7))^2+9*$E$16*D23/(2*$B$6*($B$9-$B$8)))^(-1/2)*((9*D23)/(4*$B$6*$B$9))*0.00000004765</f>
        <v>1.4555482891455508E-9</v>
      </c>
      <c r="I23" s="20">
        <f t="shared" ref="I23:I27" si="3">SQRT(G23^2*E23^2+H23^2*$C$18^2+$F$28^2)</f>
        <v>1.4554846819614949E-7</v>
      </c>
      <c r="J23" s="21">
        <f t="shared" ref="J23:J27" si="4">I23/F23</f>
        <v>0.13499882906707758</v>
      </c>
    </row>
    <row r="24" spans="1:10" x14ac:dyDescent="0.25">
      <c r="A24" s="20">
        <v>3</v>
      </c>
      <c r="B24" s="25">
        <v>10.51</v>
      </c>
      <c r="C24" s="20">
        <f t="shared" ref="C24:C26" si="5">B24-B23</f>
        <v>2.8999999999999995</v>
      </c>
      <c r="D24" s="21">
        <f>$B$12/(B24-B23)</f>
        <v>1.7241379310344832E-4</v>
      </c>
      <c r="E24" s="21">
        <f t="shared" si="0"/>
        <v>2.1019821081645298E-5</v>
      </c>
      <c r="F24" s="5">
        <f>(($B$10/(2*$B$7))^2+9*E16*D24/(2*$B$6*($B$9-$B$8)))^(1/2)-$B$10/(2*$B$7)</f>
        <v>1.2581937740951186E-6</v>
      </c>
      <c r="G24" s="20">
        <f t="shared" si="1"/>
        <v>3.7624508550208962E-3</v>
      </c>
      <c r="H24" s="20">
        <f t="shared" si="2"/>
        <v>1.6903996997285619E-9</v>
      </c>
      <c r="I24" s="20">
        <f t="shared" si="3"/>
        <v>1.5775965111624578E-7</v>
      </c>
      <c r="J24" s="21">
        <f t="shared" si="4"/>
        <v>0.12538581446224772</v>
      </c>
    </row>
    <row r="25" spans="1:10" x14ac:dyDescent="0.25">
      <c r="A25" s="20">
        <v>4</v>
      </c>
      <c r="B25" s="25">
        <v>15.71</v>
      </c>
      <c r="C25" s="20">
        <f t="shared" si="5"/>
        <v>5.2000000000000011</v>
      </c>
      <c r="D25" s="21">
        <f>$B$12/(B25-B24)</f>
        <v>9.615384615384614E-5</v>
      </c>
      <c r="E25" s="21">
        <f t="shared" si="0"/>
        <v>6.53759967813006E-6</v>
      </c>
      <c r="F25" s="5">
        <f>(($B$10/(2*$B$7))^2+9*E16*D25/(2*$B$6*($B$9-$B$8)))^(1/2)-$B$10/(2*$B$7)</f>
        <v>9.2973136680773605E-7</v>
      </c>
      <c r="G25" s="20">
        <f t="shared" si="1"/>
        <v>5.036239509838317E-3</v>
      </c>
      <c r="H25" s="20">
        <f t="shared" si="2"/>
        <v>1.2618844860489176E-9</v>
      </c>
      <c r="I25" s="20">
        <f t="shared" si="3"/>
        <v>1.4041808691756361E-7</v>
      </c>
      <c r="J25" s="21">
        <f t="shared" si="4"/>
        <v>0.15103081592233877</v>
      </c>
    </row>
    <row r="26" spans="1:10" x14ac:dyDescent="0.25">
      <c r="A26" s="20">
        <v>5</v>
      </c>
      <c r="B26" s="25">
        <v>20.85</v>
      </c>
      <c r="C26" s="20">
        <f t="shared" si="5"/>
        <v>5.1400000000000006</v>
      </c>
      <c r="D26" s="21">
        <f>$B$12/(B26-B25)</f>
        <v>9.7276264591439682E-5</v>
      </c>
      <c r="E26" s="21">
        <f>SQRT(2)*D26*$B$13/C26</f>
        <v>6.6911192938816967E-6</v>
      </c>
      <c r="F26" s="5">
        <f>(($B$10/(2*$B$7))^2+9*E16*D26/(2*$B$6*($B$9-$B$8)))^(1/2)-$B$10/(2*$B$7)</f>
        <v>9.3536776243447075E-7</v>
      </c>
      <c r="G26" s="20">
        <f t="shared" si="1"/>
        <v>5.0071502306304558E-3</v>
      </c>
      <c r="H26" s="20">
        <f t="shared" si="2"/>
        <v>1.2692409390890065E-9</v>
      </c>
      <c r="I26" s="20">
        <f t="shared" si="3"/>
        <v>1.4055487908979763E-7</v>
      </c>
      <c r="J26" s="21">
        <f t="shared" si="4"/>
        <v>0.15026696956497312</v>
      </c>
    </row>
    <row r="27" spans="1:10" x14ac:dyDescent="0.25">
      <c r="A27" s="7" t="s">
        <v>34</v>
      </c>
      <c r="B27" s="7"/>
      <c r="C27" s="7">
        <f>AVERAGE(C22:C26)</f>
        <v>4.17</v>
      </c>
      <c r="D27" s="7">
        <f>AVERAGE(D22:D26)</f>
        <v>1.2577125536710634E-4</v>
      </c>
      <c r="E27" s="8">
        <f>SQRT(2)*D27*$B$13/C27</f>
        <v>1.0663514094535476E-5</v>
      </c>
      <c r="F27" s="9">
        <f>AVERAGE(F22:F26)</f>
        <v>1.0621702118413898E-6</v>
      </c>
      <c r="G27" s="7">
        <f t="shared" si="1"/>
        <v>4.4044123778326991E-3</v>
      </c>
      <c r="H27" s="7">
        <f t="shared" si="2"/>
        <v>1.4434971634988207E-9</v>
      </c>
      <c r="I27" s="7">
        <f t="shared" si="3"/>
        <v>1.4435776786131279E-7</v>
      </c>
      <c r="J27" s="8">
        <f t="shared" si="4"/>
        <v>0.13590831888521199</v>
      </c>
    </row>
    <row r="28" spans="1:10" x14ac:dyDescent="0.25">
      <c r="A28" s="20" t="s">
        <v>35</v>
      </c>
      <c r="C28" s="6">
        <f>_xlfn.STDEV.S(C22:C26)</f>
        <v>0.98782589559091816</v>
      </c>
      <c r="D28" s="21">
        <f>_xlfn.STDEV.S(D22:D26)</f>
        <v>3.1451546706133863E-5</v>
      </c>
      <c r="E28" s="8">
        <f>SQRT(2)*D28*$B$13/C28</f>
        <v>1.1256842958854066E-5</v>
      </c>
      <c r="F28" s="21">
        <f>_xlfn.STDEV.S(F22:F26)</f>
        <v>1.3650198106048172E-7</v>
      </c>
    </row>
    <row r="30" spans="1:10" x14ac:dyDescent="0.25">
      <c r="A30" s="20" t="s">
        <v>31</v>
      </c>
      <c r="C30" s="20">
        <f t="array" ref="C30:G31">TRANSPOSE(A32:B36)</f>
        <v>1.471192831866296E-7</v>
      </c>
      <c r="D30" s="20">
        <v>1.4554846819614949E-7</v>
      </c>
      <c r="E30" s="20">
        <v>1.5775965111624578E-7</v>
      </c>
      <c r="F30" s="20">
        <v>1.4041808691756361E-7</v>
      </c>
      <c r="G30" s="20">
        <v>1.4055487908979763E-7</v>
      </c>
    </row>
    <row r="31" spans="1:10" x14ac:dyDescent="0.25">
      <c r="B31" s="20" t="s">
        <v>25</v>
      </c>
      <c r="C31" s="20">
        <v>1.109412003032771E-6</v>
      </c>
      <c r="D31" s="20">
        <v>1.0781461528368521E-6</v>
      </c>
      <c r="E31" s="20">
        <v>1.2581937740951186E-6</v>
      </c>
      <c r="F31" s="20">
        <v>9.2973136680773605E-7</v>
      </c>
      <c r="G31" s="20">
        <v>9.3536776243447075E-7</v>
      </c>
    </row>
    <row r="32" spans="1:10" x14ac:dyDescent="0.25">
      <c r="A32" s="20">
        <f>I22</f>
        <v>1.471192831866296E-7</v>
      </c>
      <c r="B32" s="5">
        <f>F22</f>
        <v>1.109412003032771E-6</v>
      </c>
      <c r="C32" s="20">
        <f t="shared" ref="C32:G36" si="6">(C$31-$B32)/SQRT(C$30^2+$A32^2)</f>
        <v>0</v>
      </c>
      <c r="D32" s="20">
        <f t="shared" si="6"/>
        <v>-0.1510790044821361</v>
      </c>
      <c r="E32" s="20">
        <f t="shared" si="6"/>
        <v>0.68972024386239639</v>
      </c>
      <c r="F32" s="20">
        <f t="shared" si="6"/>
        <v>-0.88349494254427197</v>
      </c>
      <c r="G32" s="20">
        <f t="shared" si="6"/>
        <v>-0.85538328135919017</v>
      </c>
    </row>
    <row r="33" spans="1:12" x14ac:dyDescent="0.25">
      <c r="A33" s="20">
        <f>I23</f>
        <v>1.4554846819614949E-7</v>
      </c>
      <c r="B33" s="5">
        <f>F23</f>
        <v>1.0781461528368521E-6</v>
      </c>
      <c r="C33" s="20">
        <f t="shared" si="6"/>
        <v>0.1510790044821361</v>
      </c>
      <c r="D33" s="20">
        <f t="shared" si="6"/>
        <v>0</v>
      </c>
      <c r="E33" s="20">
        <f t="shared" si="6"/>
        <v>0.83881592644037128</v>
      </c>
      <c r="F33" s="20">
        <f t="shared" si="6"/>
        <v>-0.73384957047735389</v>
      </c>
      <c r="G33" s="20">
        <f t="shared" si="6"/>
        <v>-0.70564846321460006</v>
      </c>
    </row>
    <row r="34" spans="1:12" x14ac:dyDescent="0.25">
      <c r="A34" s="20">
        <f>I24</f>
        <v>1.5775965111624578E-7</v>
      </c>
      <c r="B34" s="5">
        <f>F24</f>
        <v>1.2581937740951186E-6</v>
      </c>
      <c r="C34" s="20">
        <f t="shared" si="6"/>
        <v>-0.68972024386239639</v>
      </c>
      <c r="D34" s="20">
        <f t="shared" si="6"/>
        <v>-0.83881592644037128</v>
      </c>
      <c r="E34" s="20">
        <f t="shared" si="6"/>
        <v>0</v>
      </c>
      <c r="F34" s="20">
        <f t="shared" si="6"/>
        <v>-1.5552213587860841</v>
      </c>
      <c r="G34" s="20">
        <f t="shared" si="6"/>
        <v>-1.5278757341625229</v>
      </c>
    </row>
    <row r="35" spans="1:12" x14ac:dyDescent="0.25">
      <c r="A35" s="20">
        <f>I25</f>
        <v>1.4041808691756361E-7</v>
      </c>
      <c r="B35" s="5">
        <f>F25</f>
        <v>9.2973136680773605E-7</v>
      </c>
      <c r="C35" s="20">
        <f t="shared" si="6"/>
        <v>0.88349494254427197</v>
      </c>
      <c r="D35" s="20">
        <f t="shared" si="6"/>
        <v>0.73384957047735389</v>
      </c>
      <c r="E35" s="20">
        <f t="shared" si="6"/>
        <v>1.5552213587860841</v>
      </c>
      <c r="F35" s="20">
        <f t="shared" si="6"/>
        <v>0</v>
      </c>
      <c r="G35" s="20">
        <f t="shared" si="6"/>
        <v>2.8369512935100143E-2</v>
      </c>
    </row>
    <row r="36" spans="1:12" x14ac:dyDescent="0.25">
      <c r="A36" s="20">
        <f>I26</f>
        <v>1.4055487908979763E-7</v>
      </c>
      <c r="B36" s="5">
        <f>F26</f>
        <v>9.3536776243447075E-7</v>
      </c>
      <c r="C36" s="20">
        <f t="shared" si="6"/>
        <v>0.85538328135919017</v>
      </c>
      <c r="D36" s="20">
        <f t="shared" si="6"/>
        <v>0.70564846321460006</v>
      </c>
      <c r="E36" s="20">
        <f t="shared" si="6"/>
        <v>1.5278757341625229</v>
      </c>
      <c r="F36" s="20">
        <f t="shared" si="6"/>
        <v>-2.8369512935100143E-2</v>
      </c>
      <c r="G36" s="20">
        <f t="shared" si="6"/>
        <v>0</v>
      </c>
    </row>
    <row r="39" spans="1:12" x14ac:dyDescent="0.25">
      <c r="A39" s="20" t="s">
        <v>7</v>
      </c>
    </row>
    <row r="40" spans="1:12" x14ac:dyDescent="0.25">
      <c r="B40" s="20" t="s">
        <v>36</v>
      </c>
      <c r="C40" s="20" t="s">
        <v>27</v>
      </c>
      <c r="D40" s="20" t="s">
        <v>24</v>
      </c>
      <c r="E40" s="20" t="s">
        <v>29</v>
      </c>
      <c r="F40" s="20" t="s">
        <v>37</v>
      </c>
      <c r="G40" s="20" t="s">
        <v>39</v>
      </c>
      <c r="H40" s="20" t="s">
        <v>40</v>
      </c>
      <c r="I40" s="20" t="s">
        <v>41</v>
      </c>
      <c r="J40" s="20" t="s">
        <v>42</v>
      </c>
      <c r="K40" s="20" t="s">
        <v>2</v>
      </c>
      <c r="L40" s="20" t="s">
        <v>43</v>
      </c>
    </row>
    <row r="41" spans="1:12" x14ac:dyDescent="0.25">
      <c r="A41" s="24">
        <v>1</v>
      </c>
      <c r="B41" s="26">
        <v>21.37</v>
      </c>
      <c r="C41" s="20">
        <f>B41-B26</f>
        <v>0.51999999999999957</v>
      </c>
      <c r="D41" s="21">
        <f>$B$12/C41</f>
        <v>9.6153846153846235E-4</v>
      </c>
      <c r="E41" s="21">
        <f>SQRT(2)*D41*$B$13/C41</f>
        <v>6.5375996781300732E-4</v>
      </c>
      <c r="F41" s="21">
        <f>(4*PI()/3)*$F$27^3*($B$9-$B$8)*($B$6/$E$18)*(1+ABS(D41)/$D$27)</f>
        <v>8.9308216713483661E-18</v>
      </c>
      <c r="G41" s="21">
        <f>F41*3/$F$27</f>
        <v>2.5224266991631587E-11</v>
      </c>
      <c r="H41" s="21">
        <f>F41/$E$18</f>
        <v>2.1827633229644203E-22</v>
      </c>
      <c r="I41" s="20">
        <f>(4*PI()/3)*$F$27^3*($B$9-$B$8)*($B$6/$E$18)*(1/$D$27)</f>
        <v>8.213686985861818E-15</v>
      </c>
      <c r="J41" s="21">
        <f>(4*PI()/3)*$F$27^3*($B$9-$B$8)*($B$6/$E$18)*(ABS(D41)/$D$27^2)</f>
        <v>6.2794761210673343E-14</v>
      </c>
      <c r="K41" s="20">
        <f>SQRT(G41^2*$I$27^2+H41^2*$F$18^2+I41^2*E41^2+J41^2*$E$28^2)</f>
        <v>6.526984322351342E-18</v>
      </c>
      <c r="L41" s="53">
        <f>K41/F41</f>
        <v>0.73083805304175387</v>
      </c>
    </row>
    <row r="42" spans="1:12" x14ac:dyDescent="0.25">
      <c r="A42" s="24">
        <v>2</v>
      </c>
      <c r="B42" s="26">
        <v>21.86</v>
      </c>
      <c r="C42" s="20">
        <f>B42-B41</f>
        <v>0.48999999999999844</v>
      </c>
      <c r="D42" s="21">
        <f t="shared" ref="D42:D45" si="7">$B$12/C42</f>
        <v>1.0204081632653095E-3</v>
      </c>
      <c r="E42" s="21">
        <f t="shared" ref="E42:E44" si="8">SQRT(2)*D42*$B$13/C42</f>
        <v>7.3626278757450247E-4</v>
      </c>
      <c r="F42" s="21">
        <f t="shared" ref="F42:F45" si="9">(4*PI()/3)*$F$27^3*($B$9-$B$8)*($B$6/$E$18)*(1+ABS(D42)/$D$27)</f>
        <v>9.4143589742837367E-18</v>
      </c>
      <c r="G42" s="21">
        <f t="shared" ref="G42:G45" si="10">F42*3/$F$27</f>
        <v>2.6589972687982564E-11</v>
      </c>
      <c r="H42" s="21">
        <f t="shared" ref="H42:H45" si="11">F42/$E$18</f>
        <v>2.3009436572015847E-22</v>
      </c>
      <c r="I42" s="20">
        <f t="shared" ref="I42:I45" si="12">(4*PI()/3)*$F$27^3*($B$9-$B$8)*($B$6/$E$18)*(1/$D$27)</f>
        <v>8.213686985861818E-15</v>
      </c>
      <c r="J42" s="21">
        <f t="shared" ref="J42:J45" si="13">(4*PI()/3)*$F$27^3*($B$9-$B$8)*($B$6/$E$18)*(ABS(D42)/$D$27^2)</f>
        <v>6.6639338427653512E-14</v>
      </c>
      <c r="K42" s="20">
        <f t="shared" ref="K42:K45" si="14">SQRT(G42^2*$I$27^2+H42^2*$F$18^2+I42^2*E42^2+J42^2*$E$28^2)</f>
        <v>7.202570806599373E-18</v>
      </c>
      <c r="L42" s="53">
        <f t="shared" ref="L42:L45" si="15">K42/F42</f>
        <v>0.76506226565971358</v>
      </c>
    </row>
    <row r="43" spans="1:12" x14ac:dyDescent="0.25">
      <c r="A43" s="24">
        <v>3</v>
      </c>
      <c r="B43" s="26">
        <v>22.39</v>
      </c>
      <c r="C43" s="20">
        <f>B43-B42</f>
        <v>0.53000000000000114</v>
      </c>
      <c r="D43" s="21">
        <f t="shared" si="7"/>
        <v>9.4339622641509229E-4</v>
      </c>
      <c r="E43" s="21">
        <f t="shared" si="8"/>
        <v>6.2932251796595266E-4</v>
      </c>
      <c r="F43" s="21">
        <f t="shared" si="9"/>
        <v>8.7818070308210962E-18</v>
      </c>
      <c r="G43" s="21">
        <f t="shared" si="10"/>
        <v>2.4803389135523374E-11</v>
      </c>
      <c r="H43" s="21">
        <f t="shared" si="11"/>
        <v>2.1463429683881828E-22</v>
      </c>
      <c r="I43" s="20">
        <f t="shared" si="12"/>
        <v>8.213686985861818E-15</v>
      </c>
      <c r="J43" s="21">
        <f t="shared" si="13"/>
        <v>6.1609954395377437E-14</v>
      </c>
      <c r="K43" s="20">
        <f t="shared" si="14"/>
        <v>6.3268022269722729E-18</v>
      </c>
      <c r="L43" s="53">
        <f t="shared" si="15"/>
        <v>0.72044423257848778</v>
      </c>
    </row>
    <row r="44" spans="1:12" x14ac:dyDescent="0.25">
      <c r="A44" s="24">
        <v>4</v>
      </c>
      <c r="B44" s="26">
        <v>22.92</v>
      </c>
      <c r="C44" s="20">
        <f>B44-B43</f>
        <v>0.53000000000000114</v>
      </c>
      <c r="D44" s="21">
        <f t="shared" si="7"/>
        <v>9.4339622641509229E-4</v>
      </c>
      <c r="E44" s="21">
        <f t="shared" si="8"/>
        <v>6.2932251796595266E-4</v>
      </c>
      <c r="F44" s="21">
        <f t="shared" si="9"/>
        <v>8.7818070308210962E-18</v>
      </c>
      <c r="G44" s="21">
        <f t="shared" si="10"/>
        <v>2.4803389135523374E-11</v>
      </c>
      <c r="H44" s="21">
        <f t="shared" si="11"/>
        <v>2.1463429683881828E-22</v>
      </c>
      <c r="I44" s="20">
        <f t="shared" si="12"/>
        <v>8.213686985861818E-15</v>
      </c>
      <c r="J44" s="21">
        <f t="shared" si="13"/>
        <v>6.1609954395377437E-14</v>
      </c>
      <c r="K44" s="20">
        <f t="shared" si="14"/>
        <v>6.3268022269722729E-18</v>
      </c>
      <c r="L44" s="53">
        <f t="shared" si="15"/>
        <v>0.72044423257848778</v>
      </c>
    </row>
    <row r="45" spans="1:12" x14ac:dyDescent="0.25">
      <c r="A45" s="24">
        <v>5</v>
      </c>
      <c r="B45" s="26">
        <v>23.74</v>
      </c>
      <c r="C45" s="20">
        <f>B45-B44</f>
        <v>0.81999999999999673</v>
      </c>
      <c r="D45" s="21">
        <f t="shared" si="7"/>
        <v>6.097560975609781E-4</v>
      </c>
      <c r="E45" s="21">
        <f>SQRT(2)*D45*$B$13/C45</f>
        <v>2.629040679604972E-4</v>
      </c>
      <c r="F45" s="21">
        <f t="shared" si="9"/>
        <v>6.0413914464907986E-18</v>
      </c>
      <c r="G45" s="21">
        <f t="shared" si="10"/>
        <v>1.7063342708559049E-11</v>
      </c>
      <c r="H45" s="21">
        <f t="shared" si="11"/>
        <v>1.4765637647179816E-22</v>
      </c>
      <c r="I45" s="20">
        <f t="shared" si="12"/>
        <v>8.213686985861818E-15</v>
      </c>
      <c r="J45" s="21">
        <f t="shared" si="13"/>
        <v>3.982106808481737E-14</v>
      </c>
      <c r="K45" s="20">
        <f t="shared" si="14"/>
        <v>3.3068405128405461E-18</v>
      </c>
      <c r="L45" s="53">
        <f t="shared" si="15"/>
        <v>0.54736405381600572</v>
      </c>
    </row>
    <row r="46" spans="1:12" x14ac:dyDescent="0.25">
      <c r="L46" s="53"/>
    </row>
    <row r="49" spans="1:12" x14ac:dyDescent="0.25">
      <c r="A49" s="20" t="s">
        <v>7</v>
      </c>
    </row>
    <row r="50" spans="1:12" x14ac:dyDescent="0.25">
      <c r="B50" s="20" t="s">
        <v>23</v>
      </c>
      <c r="C50" s="20" t="s">
        <v>27</v>
      </c>
      <c r="D50" s="20" t="s">
        <v>24</v>
      </c>
      <c r="E50" s="20" t="s">
        <v>29</v>
      </c>
      <c r="F50" s="20" t="s">
        <v>37</v>
      </c>
      <c r="G50" s="20" t="s">
        <v>39</v>
      </c>
      <c r="H50" s="20" t="s">
        <v>40</v>
      </c>
      <c r="I50" s="20" t="s">
        <v>41</v>
      </c>
      <c r="J50" s="20" t="s">
        <v>42</v>
      </c>
      <c r="K50" s="20" t="s">
        <v>2</v>
      </c>
      <c r="L50" s="20" t="s">
        <v>43</v>
      </c>
    </row>
    <row r="51" spans="1:12" x14ac:dyDescent="0.25">
      <c r="A51" s="24">
        <v>6</v>
      </c>
      <c r="B51" s="27">
        <v>24.28</v>
      </c>
      <c r="C51" s="20">
        <f>B51-B45</f>
        <v>0.5400000000000027</v>
      </c>
      <c r="D51" s="21">
        <f>$B$12/C51</f>
        <v>9.259259259259213E-4</v>
      </c>
      <c r="E51" s="21">
        <f>SQRT(2)*D51*$B$13/C51</f>
        <v>6.062300936098598E-4</v>
      </c>
      <c r="F51" s="21">
        <f>-(4*PI()/3)*$F$27^3*($B$9-$B$8)*($B$6/$E$18)*(1-ABS(D51)/$D$27)</f>
        <v>6.5722200042454882E-18</v>
      </c>
      <c r="G51" s="21">
        <f>F51*3/$F$27</f>
        <v>1.8562618112360212E-11</v>
      </c>
      <c r="H51" s="21">
        <f>F51/$E$18</f>
        <v>1.6063024549849995E-22</v>
      </c>
      <c r="I51" s="20">
        <f>-(4*PI()/3)*$F$27^3*($B$9-$B$8)*($B$6/$E$18)*(-1/$D$27)</f>
        <v>8.213686985861818E-15</v>
      </c>
      <c r="J51" s="21">
        <f>-(4*PI()/3)*$F$27^3*($B$9-$B$8)*($B$6/$E$18)*(-ABS(D51)/$D$27^2)</f>
        <v>6.0469029313981381E-14</v>
      </c>
      <c r="K51" s="20">
        <f>SQRT(G51^2*$I$27^2+H51^2*$F$18^2+I51^2*E51^2+J51^2*$E$28^2)</f>
        <v>5.695838126216849E-18</v>
      </c>
      <c r="L51" s="53">
        <f>K51/F51</f>
        <v>0.86665359993084246</v>
      </c>
    </row>
    <row r="52" spans="1:12" x14ac:dyDescent="0.25">
      <c r="A52" s="24">
        <v>7</v>
      </c>
      <c r="B52" s="27">
        <v>24.91</v>
      </c>
      <c r="C52" s="20">
        <f>B52-B51</f>
        <v>0.62999999999999901</v>
      </c>
      <c r="D52" s="21">
        <f t="shared" ref="D52:D55" si="16">$B$12/C52</f>
        <v>7.9365079365079495E-4</v>
      </c>
      <c r="E52" s="21">
        <f t="shared" ref="E52:E54" si="17">SQRT(2)*D52*$B$13/C52</f>
        <v>4.453935381623519E-4</v>
      </c>
      <c r="F52" s="21">
        <f t="shared" ref="F52:F55" si="18">-(4*PI()/3)*$F$27^3*($B$9-$B$8)*($B$6/$E$18)*(1-ABS(D52)/$D$27)</f>
        <v>5.4857534717241322E-18</v>
      </c>
      <c r="G52" s="21">
        <f t="shared" ref="G52:G55" si="19">F52*3/$F$27</f>
        <v>1.5493995436608896E-11</v>
      </c>
      <c r="H52" s="21">
        <f t="shared" ref="H52:H55" si="20">F52/$E$18</f>
        <v>1.3407614570694182E-22</v>
      </c>
      <c r="I52" s="20">
        <f t="shared" ref="I52:I55" si="21">-(4*PI()/3)*$F$27^3*($B$9-$B$8)*($B$6/$E$18)*(-1/$D$27)</f>
        <v>8.213686985861818E-15</v>
      </c>
      <c r="J52" s="21">
        <f t="shared" ref="J52:J55" si="22">-(4*PI()/3)*$F$27^3*($B$9-$B$8)*($B$6/$E$18)*(-ABS(D52)/$D$27^2)</f>
        <v>5.183059655484153E-14</v>
      </c>
      <c r="K52" s="20">
        <f t="shared" ref="K52:K55" si="23">SQRT(G52^2*$I$27^2+H52^2*$F$18^2+I52^2*E52^2+J52^2*$E$28^2)</f>
        <v>4.3277633450005005E-18</v>
      </c>
      <c r="L52" s="53">
        <f t="shared" ref="L52:L55" si="24">K52/F52</f>
        <v>0.7889095576947821</v>
      </c>
    </row>
    <row r="53" spans="1:12" x14ac:dyDescent="0.25">
      <c r="A53" s="24">
        <v>8</v>
      </c>
      <c r="B53" s="27">
        <v>25.47</v>
      </c>
      <c r="C53" s="20">
        <f>B53-B52</f>
        <v>0.55999999999999872</v>
      </c>
      <c r="D53" s="21">
        <f t="shared" si="16"/>
        <v>8.9285714285714489E-4</v>
      </c>
      <c r="E53" s="21">
        <f t="shared" si="17"/>
        <v>5.6370119673672739E-4</v>
      </c>
      <c r="F53" s="21">
        <f t="shared" si="18"/>
        <v>6.300603371115192E-18</v>
      </c>
      <c r="G53" s="21">
        <f t="shared" si="19"/>
        <v>1.7795462443422501E-11</v>
      </c>
      <c r="H53" s="21">
        <f t="shared" si="20"/>
        <v>1.5399172055061147E-22</v>
      </c>
      <c r="I53" s="20">
        <f t="shared" si="21"/>
        <v>8.213686985861818E-15</v>
      </c>
      <c r="J53" s="21">
        <f t="shared" si="22"/>
        <v>5.8309421124196762E-14</v>
      </c>
      <c r="K53" s="20">
        <f t="shared" si="23"/>
        <v>5.3358874791220059E-18</v>
      </c>
      <c r="L53" s="53">
        <f t="shared" si="24"/>
        <v>0.84688515763174699</v>
      </c>
    </row>
    <row r="54" spans="1:12" x14ac:dyDescent="0.25">
      <c r="A54" s="24">
        <v>9</v>
      </c>
      <c r="B54" s="27">
        <v>26.08</v>
      </c>
      <c r="C54" s="20">
        <f>B54-B53</f>
        <v>0.60999999999999943</v>
      </c>
      <c r="D54" s="21">
        <f t="shared" si="16"/>
        <v>8.1967213114754174E-4</v>
      </c>
      <c r="E54" s="21">
        <f t="shared" si="17"/>
        <v>4.7507846088857089E-4</v>
      </c>
      <c r="F54" s="21">
        <f t="shared" si="18"/>
        <v>5.6994845928758795E-18</v>
      </c>
      <c r="G54" s="21">
        <f t="shared" si="19"/>
        <v>1.6097658913805887E-11</v>
      </c>
      <c r="H54" s="21">
        <f t="shared" si="20"/>
        <v>1.3929990304298616E-22</v>
      </c>
      <c r="I54" s="20">
        <f t="shared" si="21"/>
        <v>8.213686985861818E-15</v>
      </c>
      <c r="J54" s="21">
        <f t="shared" si="22"/>
        <v>5.3529960376311707E-14</v>
      </c>
      <c r="K54" s="20">
        <f t="shared" si="23"/>
        <v>4.5818444699052373E-18</v>
      </c>
      <c r="L54" s="53">
        <f t="shared" si="24"/>
        <v>0.80390505408723334</v>
      </c>
    </row>
    <row r="55" spans="1:12" x14ac:dyDescent="0.25">
      <c r="A55" s="24">
        <v>10</v>
      </c>
      <c r="B55" s="27">
        <v>26.81</v>
      </c>
      <c r="C55" s="20">
        <f>B55-B54</f>
        <v>0.73000000000000043</v>
      </c>
      <c r="D55" s="21">
        <f t="shared" si="16"/>
        <v>6.8493150684931464E-4</v>
      </c>
      <c r="E55" s="21">
        <f>SQRT(2)*D55*$B$13/C55</f>
        <v>3.3172583091881531E-4</v>
      </c>
      <c r="F55" s="21">
        <f t="shared" si="18"/>
        <v>4.5927672806106351E-18</v>
      </c>
      <c r="G55" s="21">
        <f t="shared" si="19"/>
        <v>1.2971839812703551E-11</v>
      </c>
      <c r="H55" s="21">
        <f t="shared" si="20"/>
        <v>1.1225085820702969E-22</v>
      </c>
      <c r="I55" s="20">
        <f t="shared" si="21"/>
        <v>8.213686985861818E-15</v>
      </c>
      <c r="J55" s="21">
        <f t="shared" si="22"/>
        <v>4.4730514835000128E-14</v>
      </c>
      <c r="K55" s="20">
        <f t="shared" si="23"/>
        <v>3.3445790993703863E-18</v>
      </c>
      <c r="L55" s="53">
        <f t="shared" si="24"/>
        <v>0.72822742695678344</v>
      </c>
    </row>
    <row r="56" spans="1:12" x14ac:dyDescent="0.25">
      <c r="L56" s="53"/>
    </row>
    <row r="59" spans="1:12" x14ac:dyDescent="0.25">
      <c r="B59" s="20" t="s">
        <v>38</v>
      </c>
    </row>
    <row r="60" spans="1:12" x14ac:dyDescent="0.25">
      <c r="A60" s="21"/>
      <c r="B60" s="20" t="s">
        <v>44</v>
      </c>
      <c r="C60" s="20" t="s">
        <v>45</v>
      </c>
    </row>
    <row r="61" spans="1:12" x14ac:dyDescent="0.25">
      <c r="A61" s="20">
        <v>1</v>
      </c>
      <c r="B61" s="21">
        <f>F41</f>
        <v>8.9308216713483661E-18</v>
      </c>
      <c r="C61" s="20">
        <f>K41</f>
        <v>6.526984322351342E-18</v>
      </c>
    </row>
    <row r="62" spans="1:12" x14ac:dyDescent="0.25">
      <c r="A62" s="20">
        <v>2</v>
      </c>
      <c r="B62" s="21">
        <f t="shared" ref="B62:B65" si="25">F42</f>
        <v>9.4143589742837367E-18</v>
      </c>
      <c r="C62" s="20">
        <f t="shared" ref="C62:C65" si="26">K42</f>
        <v>7.202570806599373E-18</v>
      </c>
    </row>
    <row r="63" spans="1:12" x14ac:dyDescent="0.25">
      <c r="A63" s="20">
        <v>3</v>
      </c>
      <c r="B63" s="21">
        <f t="shared" si="25"/>
        <v>8.7818070308210962E-18</v>
      </c>
      <c r="C63" s="20">
        <f t="shared" si="26"/>
        <v>6.3268022269722729E-18</v>
      </c>
    </row>
    <row r="64" spans="1:12" x14ac:dyDescent="0.25">
      <c r="A64" s="20">
        <v>4</v>
      </c>
      <c r="B64" s="21">
        <f t="shared" si="25"/>
        <v>8.7818070308210962E-18</v>
      </c>
      <c r="C64" s="20">
        <f t="shared" si="26"/>
        <v>6.3268022269722729E-18</v>
      </c>
    </row>
    <row r="65" spans="1:3" x14ac:dyDescent="0.25">
      <c r="A65" s="20">
        <v>5</v>
      </c>
      <c r="B65" s="21">
        <f t="shared" si="25"/>
        <v>6.0413914464907986E-18</v>
      </c>
      <c r="C65" s="20">
        <f t="shared" si="26"/>
        <v>3.3068405128405461E-18</v>
      </c>
    </row>
    <row r="66" spans="1:3" x14ac:dyDescent="0.25">
      <c r="A66" s="20">
        <v>6</v>
      </c>
      <c r="B66" s="21">
        <f>F51</f>
        <v>6.5722200042454882E-18</v>
      </c>
      <c r="C66" s="20">
        <f>K51</f>
        <v>5.695838126216849E-18</v>
      </c>
    </row>
    <row r="67" spans="1:3" x14ac:dyDescent="0.25">
      <c r="A67" s="20">
        <v>7</v>
      </c>
      <c r="B67" s="21">
        <f t="shared" ref="B67:B70" si="27">F52</f>
        <v>5.4857534717241322E-18</v>
      </c>
      <c r="C67" s="20">
        <f t="shared" ref="C67:C70" si="28">K52</f>
        <v>4.3277633450005005E-18</v>
      </c>
    </row>
    <row r="68" spans="1:3" x14ac:dyDescent="0.25">
      <c r="A68" s="20">
        <v>8</v>
      </c>
      <c r="B68" s="21">
        <f t="shared" si="27"/>
        <v>6.300603371115192E-18</v>
      </c>
      <c r="C68" s="20">
        <f t="shared" si="28"/>
        <v>5.3358874791220059E-18</v>
      </c>
    </row>
    <row r="69" spans="1:3" x14ac:dyDescent="0.25">
      <c r="A69" s="20">
        <v>9</v>
      </c>
      <c r="B69" s="21">
        <f t="shared" si="27"/>
        <v>5.6994845928758795E-18</v>
      </c>
      <c r="C69" s="20">
        <f t="shared" si="28"/>
        <v>4.5818444699052373E-18</v>
      </c>
    </row>
    <row r="70" spans="1:3" x14ac:dyDescent="0.25">
      <c r="A70" s="20">
        <v>10</v>
      </c>
      <c r="B70" s="21">
        <f t="shared" si="27"/>
        <v>4.5927672806106351E-18</v>
      </c>
      <c r="C70" s="20">
        <f t="shared" si="28"/>
        <v>3.3445790993703863E-18</v>
      </c>
    </row>
  </sheetData>
  <mergeCells count="2">
    <mergeCell ref="A1:C2"/>
    <mergeCell ref="A14:C15"/>
  </mergeCells>
  <conditionalFormatting sqref="C32:G36">
    <cfRule type="cellIs" dxfId="63" priority="9" operator="notBetween">
      <formula>-1.96</formula>
      <formula>1.96</formula>
    </cfRule>
  </conditionalFormatting>
  <conditionalFormatting sqref="L41:L46">
    <cfRule type="cellIs" priority="4" operator="greaterThan">
      <formula>0.04</formula>
    </cfRule>
  </conditionalFormatting>
  <conditionalFormatting sqref="L51:L56">
    <cfRule type="cellIs" priority="2" operator="greaterThan">
      <formula>0.04</formula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3" operator="greaterThan" id="{D2523383-E959-4D00-B8AD-DFD8062E2020}">
            <xm:f>Dati!$B$14</xm:f>
            <x14:dxf>
              <fill>
                <patternFill>
                  <bgColor theme="5"/>
                </patternFill>
              </fill>
            </x14:dxf>
          </x14:cfRule>
          <xm:sqref>L41:L46</xm:sqref>
        </x14:conditionalFormatting>
        <x14:conditionalFormatting xmlns:xm="http://schemas.microsoft.com/office/excel/2006/main">
          <x14:cfRule type="cellIs" priority="1" operator="greaterThan" id="{C080FF38-1B2C-4B70-B1C5-27FFB77F924E}">
            <xm:f>Dati!$B$14</xm:f>
            <x14:dxf>
              <fill>
                <patternFill>
                  <bgColor theme="5"/>
                </patternFill>
              </fill>
            </x14:dxf>
          </x14:cfRule>
          <xm:sqref>L51:L56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topLeftCell="A4" workbookViewId="0">
      <selection activeCell="C26" sqref="C26"/>
    </sheetView>
  </sheetViews>
  <sheetFormatPr defaultRowHeight="15" x14ac:dyDescent="0.25"/>
  <cols>
    <col min="1" max="1" width="13.140625" style="27" customWidth="1"/>
    <col min="2" max="2" width="9.140625" style="27"/>
    <col min="3" max="5" width="12" style="27" customWidth="1"/>
    <col min="6" max="7" width="12.140625" style="27" customWidth="1"/>
    <col min="8" max="9" width="12" style="27" customWidth="1"/>
    <col min="10" max="10" width="9.140625" style="27"/>
    <col min="11" max="11" width="12" style="27" customWidth="1"/>
    <col min="12" max="16384" width="9.140625" style="27"/>
  </cols>
  <sheetData>
    <row r="1" spans="1:5" x14ac:dyDescent="0.25">
      <c r="A1" s="187" t="str">
        <f>[1]Dati!A1</f>
        <v>Costanti varie</v>
      </c>
      <c r="B1" s="187"/>
      <c r="C1" s="187"/>
    </row>
    <row r="2" spans="1:5" x14ac:dyDescent="0.25">
      <c r="A2" s="187"/>
      <c r="B2" s="187"/>
      <c r="C2" s="187"/>
    </row>
    <row r="4" spans="1:5" x14ac:dyDescent="0.25">
      <c r="B4" s="27" t="s">
        <v>1</v>
      </c>
      <c r="C4" s="27" t="s">
        <v>2</v>
      </c>
    </row>
    <row r="5" spans="1:5" x14ac:dyDescent="0.25">
      <c r="A5" s="27" t="str">
        <f>[1]Dati!A5</f>
        <v>d</v>
      </c>
      <c r="B5" s="28">
        <v>7.6</v>
      </c>
      <c r="C5" s="27">
        <f>[1]Dati!C5</f>
        <v>1.0000000000000001E-5</v>
      </c>
    </row>
    <row r="6" spans="1:5" x14ac:dyDescent="0.25">
      <c r="A6" s="27" t="str">
        <f>[1]Dati!A6</f>
        <v>g</v>
      </c>
      <c r="B6" s="27">
        <f>[1]Dati!B6</f>
        <v>9.8059999999999992</v>
      </c>
      <c r="C6" s="27">
        <f>[1]Dati!C6</f>
        <v>0</v>
      </c>
    </row>
    <row r="7" spans="1:5" x14ac:dyDescent="0.25">
      <c r="A7" s="27" t="str">
        <f>[1]Dati!A7</f>
        <v>pressione</v>
      </c>
      <c r="B7" s="27">
        <f>[1]Dati!B7</f>
        <v>101325</v>
      </c>
      <c r="C7" s="27">
        <f>[1]Dati!C7</f>
        <v>0</v>
      </c>
    </row>
    <row r="8" spans="1:5" x14ac:dyDescent="0.25">
      <c r="A8" s="27" t="str">
        <f>[1]Dati!A8</f>
        <v>densità aria</v>
      </c>
      <c r="B8" s="27">
        <v>0</v>
      </c>
      <c r="C8" s="27">
        <f>[1]Dati!C8</f>
        <v>0</v>
      </c>
    </row>
    <row r="9" spans="1:5" x14ac:dyDescent="0.25">
      <c r="A9" s="27" t="str">
        <f>[1]Dati!A9</f>
        <v>densità olio</v>
      </c>
      <c r="B9" s="27">
        <v>858.7</v>
      </c>
      <c r="C9" s="27">
        <f>[1]Dati!C9</f>
        <v>0</v>
      </c>
    </row>
    <row r="10" spans="1:5" x14ac:dyDescent="0.25">
      <c r="A10" s="27" t="str">
        <f>[1]Dati!A10</f>
        <v>cst corr vis</v>
      </c>
      <c r="B10" s="27">
        <f>[1]Dati!B10</f>
        <v>8.2000000000000007E-3</v>
      </c>
      <c r="C10" s="27">
        <f>[1]Dati!C10</f>
        <v>0</v>
      </c>
    </row>
    <row r="11" spans="1:5" x14ac:dyDescent="0.25">
      <c r="A11" s="27" t="str">
        <f>[1]Dati!A11</f>
        <v>e</v>
      </c>
      <c r="B11" s="27">
        <f>[1]Dati!B11</f>
        <v>1.6021766200000001E-19</v>
      </c>
      <c r="C11" s="27">
        <f>[1]Dati!C11</f>
        <v>0</v>
      </c>
    </row>
    <row r="12" spans="1:5" x14ac:dyDescent="0.25">
      <c r="A12" s="27" t="str">
        <f>[1]Dati!A12</f>
        <v>deltax</v>
      </c>
      <c r="B12" s="27">
        <f>[1]Dati!B12</f>
        <v>5.0000000000000001E-4</v>
      </c>
      <c r="C12" s="27">
        <f>[1]Dati!C12</f>
        <v>0</v>
      </c>
    </row>
    <row r="13" spans="1:5" x14ac:dyDescent="0.25">
      <c r="A13" s="27" t="s">
        <v>30</v>
      </c>
      <c r="B13" s="27">
        <f>Dati!B13</f>
        <v>0.25</v>
      </c>
    </row>
    <row r="14" spans="1:5" x14ac:dyDescent="0.25">
      <c r="A14" s="187" t="s">
        <v>17</v>
      </c>
      <c r="B14" s="187"/>
      <c r="C14" s="187"/>
      <c r="D14" s="30"/>
    </row>
    <row r="15" spans="1:5" x14ac:dyDescent="0.25">
      <c r="A15" s="187"/>
      <c r="B15" s="187"/>
      <c r="C15" s="187"/>
      <c r="D15" s="30"/>
    </row>
    <row r="16" spans="1:5" x14ac:dyDescent="0.25">
      <c r="A16" s="27" t="s">
        <v>18</v>
      </c>
      <c r="B16" s="27">
        <v>304</v>
      </c>
      <c r="C16" s="27">
        <f>B16/100</f>
        <v>3.04</v>
      </c>
      <c r="D16" s="27" t="s">
        <v>19</v>
      </c>
      <c r="E16" s="27">
        <f>(1.8+(B18-15)*0.004765)*0.00001</f>
        <v>1.8285900000000001E-5</v>
      </c>
    </row>
    <row r="17" spans="1:10" x14ac:dyDescent="0.25">
      <c r="A17" s="27" t="s">
        <v>20</v>
      </c>
      <c r="E17" s="29"/>
    </row>
    <row r="18" spans="1:10" x14ac:dyDescent="0.25">
      <c r="A18" s="27" t="s">
        <v>21</v>
      </c>
      <c r="B18" s="27">
        <v>21</v>
      </c>
      <c r="C18" s="27">
        <v>0.5</v>
      </c>
      <c r="D18" s="27" t="s">
        <v>22</v>
      </c>
      <c r="E18" s="28">
        <f>B16/B5</f>
        <v>40</v>
      </c>
      <c r="F18" s="27">
        <f>SQRT((C16/B5)^2+(B16*C5/B5^2)^2)</f>
        <v>0.40000000346260389</v>
      </c>
      <c r="G18" s="28"/>
    </row>
    <row r="21" spans="1:10" x14ac:dyDescent="0.25">
      <c r="B21" s="27" t="s">
        <v>23</v>
      </c>
      <c r="C21" s="27" t="s">
        <v>27</v>
      </c>
      <c r="D21" s="27" t="s">
        <v>24</v>
      </c>
      <c r="E21" s="27" t="s">
        <v>29</v>
      </c>
      <c r="F21" s="27" t="s">
        <v>25</v>
      </c>
      <c r="G21" s="27" t="s">
        <v>26</v>
      </c>
      <c r="H21" s="27" t="s">
        <v>28</v>
      </c>
      <c r="I21" s="27" t="s">
        <v>31</v>
      </c>
      <c r="J21" s="27" t="s">
        <v>32</v>
      </c>
    </row>
    <row r="22" spans="1:10" x14ac:dyDescent="0.25">
      <c r="A22" s="27">
        <v>1</v>
      </c>
      <c r="B22" s="32">
        <v>6.61</v>
      </c>
      <c r="C22" s="27">
        <f>B22</f>
        <v>6.61</v>
      </c>
      <c r="D22" s="28">
        <f>B12/B22</f>
        <v>7.5642965204236E-5</v>
      </c>
      <c r="E22" s="28">
        <f>SQRT(2)*D22*$B$13/C22</f>
        <v>4.0459647235229454E-6</v>
      </c>
      <c r="F22" s="5">
        <f>(($B$10/(2*$B$7))^2+9*$E$16*D22/(2*$B$6*($B$9-$B$8)))^(1/2)-$B$10/(2*$B$7)</f>
        <v>8.2025728507708631E-7</v>
      </c>
      <c r="G22" s="27">
        <f>(($B$10/(2*$B$7))^2+9*$E$16*D22/(2*$B$6*($B$9-$B$8)))^(-1/2)*(9*$E$16)/(4*$B$6*$B$9)</f>
        <v>5.6767927282102403E-3</v>
      </c>
      <c r="H22" s="27">
        <f>(($B$10/(2*$B$7))^2+9*$E$16*D22/(2*$B$6*($B$9-$B$8)))^(-1/2)*((9*D22)/(4*$B$6*$B$9))*0.00000004765</f>
        <v>1.1189692368861221E-9</v>
      </c>
      <c r="I22" s="27">
        <f>SQRT(G22^2*E22^2+H22^2*$C$18^2+$F$28^2)</f>
        <v>1.0777649800968506E-7</v>
      </c>
      <c r="J22" s="28">
        <f>I22/F22</f>
        <v>0.13139352733643372</v>
      </c>
    </row>
    <row r="23" spans="1:10" x14ac:dyDescent="0.25">
      <c r="A23" s="27">
        <v>2</v>
      </c>
      <c r="B23" s="32">
        <v>11.51</v>
      </c>
      <c r="C23" s="27">
        <f>B23-B22</f>
        <v>4.8999999999999995</v>
      </c>
      <c r="D23" s="28">
        <f>$B$12/(B23-B22)</f>
        <v>1.0204081632653063E-4</v>
      </c>
      <c r="E23" s="28">
        <f t="shared" ref="E23:E25" si="0">SQRT(2)*D23*$B$13/C23</f>
        <v>7.3626278757449791E-6</v>
      </c>
      <c r="F23" s="5">
        <f>(($B$10/(2*$B$7))^2+9*E16*D23/(2*$B$6*($B$9-$B$8)))^(1/2)-$B$10/(2*$B$7)</f>
        <v>9.5893988544328431E-7</v>
      </c>
      <c r="G23" s="27">
        <f t="shared" ref="G23:G27" si="1">(($B$10/(2*$B$7))^2+9*$E$16*D23/(2*$B$6*($B$9-$B$8)))^(-1/2)*(9*$E$16)/(4*$B$6*$B$9)</f>
        <v>4.889050651341896E-3</v>
      </c>
      <c r="H23" s="27">
        <f t="shared" ref="H23:H27" si="2">(($B$10/(2*$B$7))^2+9*$E$16*D23/(2*$B$6*($B$9-$B$8)))^(-1/2)*((9*D23)/(4*$B$6*$B$9))*0.00000004765</f>
        <v>1.3000050085230238E-9</v>
      </c>
      <c r="I23" s="27">
        <f t="shared" ref="I23:I27" si="3">SQRT(G23^2*E23^2+H23^2*$C$18^2+$F$28^2)</f>
        <v>1.1128378147995709E-7</v>
      </c>
      <c r="J23" s="28">
        <f t="shared" ref="J23:J27" si="4">I23/F23</f>
        <v>0.11604875672526073</v>
      </c>
    </row>
    <row r="24" spans="1:10" x14ac:dyDescent="0.25">
      <c r="A24" s="27">
        <v>3</v>
      </c>
      <c r="B24" s="32">
        <v>16.2</v>
      </c>
      <c r="C24" s="27">
        <f t="shared" ref="C24:C26" si="5">B24-B23</f>
        <v>4.6899999999999995</v>
      </c>
      <c r="D24" s="28">
        <f>$B$12/(B24-B23)</f>
        <v>1.0660980810234542E-4</v>
      </c>
      <c r="E24" s="28">
        <f t="shared" si="0"/>
        <v>8.0367290245378463E-6</v>
      </c>
      <c r="F24" s="5">
        <f>(($B$10/(2*$B$7))^2+9*E16*D24/(2*$B$6*($B$9-$B$8)))^(1/2)-$B$10/(2*$B$7)</f>
        <v>9.8103370364425726E-7</v>
      </c>
      <c r="G24" s="27">
        <f t="shared" si="1"/>
        <v>4.7833061045589945E-3</v>
      </c>
      <c r="H24" s="27">
        <f t="shared" si="2"/>
        <v>1.3288375760679723E-9</v>
      </c>
      <c r="I24" s="27">
        <f t="shared" si="3"/>
        <v>1.1209891139161617E-7</v>
      </c>
      <c r="J24" s="28">
        <f t="shared" si="4"/>
        <v>0.11426611641903947</v>
      </c>
    </row>
    <row r="25" spans="1:10" x14ac:dyDescent="0.25">
      <c r="A25" s="27">
        <v>4</v>
      </c>
      <c r="B25" s="32">
        <v>24.31</v>
      </c>
      <c r="C25" s="27">
        <f t="shared" si="5"/>
        <v>8.11</v>
      </c>
      <c r="D25" s="28">
        <f>$B$12/(B25-B24)</f>
        <v>6.1652281134401985E-5</v>
      </c>
      <c r="E25" s="28">
        <f t="shared" si="0"/>
        <v>2.6877155404287979E-6</v>
      </c>
      <c r="F25" s="5">
        <f>(($B$10/(2*$B$7))^2+9*E16*D25/(2*$B$6*($B$9-$B$8)))^(1/2)-$B$10/(2*$B$7)</f>
        <v>7.367877931225165E-7</v>
      </c>
      <c r="G25" s="27">
        <f t="shared" si="1"/>
        <v>6.2864266952127237E-3</v>
      </c>
      <c r="H25" s="27">
        <f t="shared" si="2"/>
        <v>1.0099492950434306E-9</v>
      </c>
      <c r="I25" s="27">
        <f t="shared" si="3"/>
        <v>1.0664736675994118E-7</v>
      </c>
      <c r="J25" s="28">
        <f t="shared" si="4"/>
        <v>0.1447463811906658</v>
      </c>
    </row>
    <row r="26" spans="1:10" x14ac:dyDescent="0.25">
      <c r="A26" s="27">
        <v>5</v>
      </c>
      <c r="B26" s="32">
        <v>31.18</v>
      </c>
      <c r="C26" s="27">
        <f t="shared" si="5"/>
        <v>6.870000000000001</v>
      </c>
      <c r="D26" s="28">
        <f>$B$12/(B26-B25)</f>
        <v>7.2780203784570589E-5</v>
      </c>
      <c r="E26" s="28">
        <f>SQRT(2)*D26*$B$13/C26</f>
        <v>3.7455149659540534E-6</v>
      </c>
      <c r="F26" s="5">
        <f>(($B$10/(2*$B$7))^2+9*E16*D26/(2*$B$6*($B$9-$B$8)))^(1/2)-$B$10/(2*$B$7)</f>
        <v>8.0384959421325552E-7</v>
      </c>
      <c r="G26" s="27">
        <f t="shared" si="1"/>
        <v>5.7871108338696459E-3</v>
      </c>
      <c r="H26" s="27">
        <f t="shared" si="2"/>
        <v>1.097543221388396E-9</v>
      </c>
      <c r="I26" s="27">
        <f t="shared" si="3"/>
        <v>1.0750843829118796E-7</v>
      </c>
      <c r="J26" s="28">
        <f t="shared" si="4"/>
        <v>0.13374198241203158</v>
      </c>
    </row>
    <row r="27" spans="1:10" x14ac:dyDescent="0.25">
      <c r="A27" s="7" t="s">
        <v>34</v>
      </c>
      <c r="B27" s="7"/>
      <c r="C27" s="7">
        <f>AVERAGE(C22:C26)</f>
        <v>6.2359999999999998</v>
      </c>
      <c r="D27" s="7">
        <f>AVERAGE(D22:D26)</f>
        <v>8.3745214910416928E-5</v>
      </c>
      <c r="E27" s="8">
        <f>SQRT(2)*D27*$B$13/C27</f>
        <v>4.7479802241084502E-6</v>
      </c>
      <c r="F27" s="9">
        <f>AVERAGE(F22:F26)</f>
        <v>8.6017365230007992E-7</v>
      </c>
      <c r="G27" s="7">
        <f t="shared" si="1"/>
        <v>5.3957739281979521E-3</v>
      </c>
      <c r="H27" s="7">
        <f t="shared" si="2"/>
        <v>1.1774983610470056E-9</v>
      </c>
      <c r="I27" s="7">
        <f t="shared" si="3"/>
        <v>1.0837254244318103E-7</v>
      </c>
      <c r="J27" s="8">
        <f t="shared" si="4"/>
        <v>0.12598914434706984</v>
      </c>
    </row>
    <row r="28" spans="1:10" x14ac:dyDescent="0.25">
      <c r="A28" s="27" t="s">
        <v>35</v>
      </c>
      <c r="C28" s="6">
        <f>_xlfn.STDEV.S(C22:C26)</f>
        <v>1.4342872794527635</v>
      </c>
      <c r="D28" s="28">
        <f>_xlfn.STDEV.S(D22:D26)</f>
        <v>1.9567155485227721E-5</v>
      </c>
      <c r="E28" s="8">
        <f>SQRT(2)*D28*$B$13/C28</f>
        <v>4.8233253304090765E-6</v>
      </c>
      <c r="F28" s="28">
        <f>_xlfn.STDEV.S(F22:F26)</f>
        <v>1.0529922477973111E-7</v>
      </c>
    </row>
    <row r="30" spans="1:10" x14ac:dyDescent="0.25">
      <c r="A30" s="27" t="s">
        <v>31</v>
      </c>
      <c r="C30" s="27">
        <f t="array" ref="C30:G31">TRANSPOSE(A32:B36)</f>
        <v>1.0777649800968506E-7</v>
      </c>
      <c r="D30" s="27">
        <v>1.1128378147995709E-7</v>
      </c>
      <c r="E30" s="27">
        <v>1.1209891139161617E-7</v>
      </c>
      <c r="F30" s="27">
        <v>1.0664736675994118E-7</v>
      </c>
      <c r="G30" s="27">
        <v>1.0750843829118796E-7</v>
      </c>
    </row>
    <row r="31" spans="1:10" x14ac:dyDescent="0.25">
      <c r="B31" s="27" t="s">
        <v>25</v>
      </c>
      <c r="C31" s="27">
        <v>8.2025728507708631E-7</v>
      </c>
      <c r="D31" s="27">
        <v>9.5893988544328431E-7</v>
      </c>
      <c r="E31" s="27">
        <v>9.8103370364425726E-7</v>
      </c>
      <c r="F31" s="27">
        <v>7.367877931225165E-7</v>
      </c>
      <c r="G31" s="27">
        <v>8.0384959421325552E-7</v>
      </c>
    </row>
    <row r="32" spans="1:10" x14ac:dyDescent="0.25">
      <c r="A32" s="27">
        <f>I22</f>
        <v>1.0777649800968506E-7</v>
      </c>
      <c r="B32" s="5">
        <f>F22</f>
        <v>8.2025728507708631E-7</v>
      </c>
      <c r="C32" s="27">
        <f t="shared" ref="C32:G36" si="6">(C$31-$B32)/SQRT(C$30^2+$A32^2)</f>
        <v>0</v>
      </c>
      <c r="D32" s="27">
        <f t="shared" si="6"/>
        <v>0.89519506744395538</v>
      </c>
      <c r="E32" s="27">
        <f t="shared" si="6"/>
        <v>1.0338958340149622</v>
      </c>
      <c r="F32" s="27">
        <f t="shared" si="6"/>
        <v>-0.5505079906987701</v>
      </c>
      <c r="G32" s="27">
        <f t="shared" si="6"/>
        <v>-0.10778255719225371</v>
      </c>
    </row>
    <row r="33" spans="1:12" x14ac:dyDescent="0.25">
      <c r="A33" s="27">
        <f>I23</f>
        <v>1.1128378147995709E-7</v>
      </c>
      <c r="B33" s="5">
        <f>F23</f>
        <v>9.5893988544328431E-7</v>
      </c>
      <c r="C33" s="27">
        <f t="shared" si="6"/>
        <v>-0.89519506744395538</v>
      </c>
      <c r="D33" s="27">
        <f t="shared" si="6"/>
        <v>0</v>
      </c>
      <c r="E33" s="27">
        <f t="shared" si="6"/>
        <v>0.1398728295478224</v>
      </c>
      <c r="F33" s="27">
        <f t="shared" si="6"/>
        <v>-1.4412782655597292</v>
      </c>
      <c r="G33" s="27">
        <f t="shared" si="6"/>
        <v>-1.0023123678543793</v>
      </c>
    </row>
    <row r="34" spans="1:12" x14ac:dyDescent="0.25">
      <c r="A34" s="27">
        <f>I24</f>
        <v>1.1209891139161617E-7</v>
      </c>
      <c r="B34" s="5">
        <f>F24</f>
        <v>9.8103370364425726E-7</v>
      </c>
      <c r="C34" s="27">
        <f t="shared" si="6"/>
        <v>-1.0338958340149622</v>
      </c>
      <c r="D34" s="27">
        <f t="shared" si="6"/>
        <v>-0.1398728295478224</v>
      </c>
      <c r="E34" s="27">
        <f t="shared" si="6"/>
        <v>0</v>
      </c>
      <c r="F34" s="27">
        <f t="shared" si="6"/>
        <v>-1.578580737893265</v>
      </c>
      <c r="G34" s="27">
        <f t="shared" si="6"/>
        <v>-1.1407698585474277</v>
      </c>
    </row>
    <row r="35" spans="1:12" x14ac:dyDescent="0.25">
      <c r="A35" s="27">
        <f>I25</f>
        <v>1.0664736675994118E-7</v>
      </c>
      <c r="B35" s="5">
        <f>F25</f>
        <v>7.367877931225165E-7</v>
      </c>
      <c r="C35" s="27">
        <f t="shared" si="6"/>
        <v>0.5505079906987701</v>
      </c>
      <c r="D35" s="27">
        <f t="shared" si="6"/>
        <v>1.4412782655597292</v>
      </c>
      <c r="E35" s="27">
        <f t="shared" si="6"/>
        <v>1.578580737893265</v>
      </c>
      <c r="F35" s="27">
        <f t="shared" si="6"/>
        <v>0</v>
      </c>
      <c r="G35" s="27">
        <f t="shared" si="6"/>
        <v>0.44285020426324057</v>
      </c>
    </row>
    <row r="36" spans="1:12" x14ac:dyDescent="0.25">
      <c r="A36" s="27">
        <f>I26</f>
        <v>1.0750843829118796E-7</v>
      </c>
      <c r="B36" s="5">
        <f>F26</f>
        <v>8.0384959421325552E-7</v>
      </c>
      <c r="C36" s="27">
        <f t="shared" si="6"/>
        <v>0.10778255719225371</v>
      </c>
      <c r="D36" s="27">
        <f t="shared" si="6"/>
        <v>1.0023123678543793</v>
      </c>
      <c r="E36" s="27">
        <f t="shared" si="6"/>
        <v>1.1407698585474277</v>
      </c>
      <c r="F36" s="27">
        <f t="shared" si="6"/>
        <v>-0.44285020426324057</v>
      </c>
      <c r="G36" s="27">
        <f t="shared" si="6"/>
        <v>0</v>
      </c>
    </row>
    <row r="39" spans="1:12" x14ac:dyDescent="0.25">
      <c r="A39" s="27" t="s">
        <v>7</v>
      </c>
    </row>
    <row r="40" spans="1:12" x14ac:dyDescent="0.25">
      <c r="B40" s="27" t="s">
        <v>36</v>
      </c>
      <c r="C40" s="27" t="s">
        <v>27</v>
      </c>
      <c r="D40" s="27" t="s">
        <v>24</v>
      </c>
      <c r="E40" s="27" t="s">
        <v>29</v>
      </c>
      <c r="F40" s="27" t="s">
        <v>37</v>
      </c>
      <c r="G40" s="27" t="s">
        <v>39</v>
      </c>
      <c r="H40" s="27" t="s">
        <v>40</v>
      </c>
      <c r="I40" s="27" t="s">
        <v>41</v>
      </c>
      <c r="J40" s="27" t="s">
        <v>42</v>
      </c>
      <c r="K40" s="27" t="s">
        <v>2</v>
      </c>
      <c r="L40" s="27" t="s">
        <v>43</v>
      </c>
    </row>
    <row r="41" spans="1:12" x14ac:dyDescent="0.25">
      <c r="A41" s="31">
        <v>1</v>
      </c>
      <c r="B41" s="33">
        <v>33.299999999999997</v>
      </c>
      <c r="C41" s="27">
        <f>B41-B26</f>
        <v>2.1199999999999974</v>
      </c>
      <c r="D41" s="28">
        <f>$B$12/C41</f>
        <v>2.3584905660377388E-4</v>
      </c>
      <c r="E41" s="28">
        <f>SQRT(2)*D41*$B$13/C41</f>
        <v>3.9332657372872319E-5</v>
      </c>
      <c r="F41" s="28">
        <f>(4*PI()/3)*$F$27^3*($B$9-$B$8)*($B$6/$E$18)*(1+ABS(D41)/$D$27)</f>
        <v>2.1417035756469758E-15</v>
      </c>
      <c r="G41" s="28">
        <f>F41*3/$F$27</f>
        <v>7.4695507235781571E-9</v>
      </c>
      <c r="H41" s="28">
        <f>F41/$E$18</f>
        <v>5.3542589391174397E-17</v>
      </c>
      <c r="I41" s="27">
        <f>(4*PI()/3)*$F$27^3*($B$9-$B$8)*($B$6/$E$18)*(1/$D$27)</f>
        <v>6.7013202880636696E-12</v>
      </c>
      <c r="J41" s="28">
        <f>(4*PI()/3)*$F$27^3*($B$9-$B$8)*($B$6/$E$18)*(ABS(D41)/$D$27^2)</f>
        <v>1.8872720902683492E-11</v>
      </c>
      <c r="K41" s="27">
        <f>SQRT(G41^2*$I$27^2+H41^2*$F$18^2+I41^2*E41^2+J41^2*$E$28^2)</f>
        <v>8.5644654597474718E-16</v>
      </c>
      <c r="L41" s="53">
        <f>K41/F41</f>
        <v>0.39989032829439425</v>
      </c>
    </row>
    <row r="42" spans="1:12" x14ac:dyDescent="0.25">
      <c r="A42" s="31">
        <v>2</v>
      </c>
      <c r="B42" s="33">
        <v>34.369999999999997</v>
      </c>
      <c r="C42" s="27">
        <f>B42-B41</f>
        <v>1.0700000000000003</v>
      </c>
      <c r="D42" s="28">
        <f t="shared" ref="D42:D45" si="7">$B$12/C42</f>
        <v>4.6728971962616814E-4</v>
      </c>
      <c r="E42" s="28">
        <f t="shared" ref="E42:E44" si="8">SQRT(2)*D42*$B$13/C42</f>
        <v>1.5440361192823549E-4</v>
      </c>
      <c r="F42" s="28">
        <f t="shared" ref="F42:F45" si="9">(4*PI()/3)*$F$27^3*($B$9-$B$8)*($B$6/$E$18)*(1+ABS(D42)/$D$27)</f>
        <v>3.6926615862418533E-15</v>
      </c>
      <c r="G42" s="28">
        <f t="shared" ref="G42:G45" si="10">F42*3/$F$27</f>
        <v>1.2878777127273479E-8</v>
      </c>
      <c r="H42" s="28">
        <f t="shared" ref="H42:H45" si="11">F42/$E$18</f>
        <v>9.2316539656046337E-17</v>
      </c>
      <c r="I42" s="27">
        <f t="shared" ref="I42:I45" si="12">(4*PI()/3)*$F$27^3*($B$9-$B$8)*($B$6/$E$18)*(1/$D$27)</f>
        <v>6.7013202880636696E-12</v>
      </c>
      <c r="J42" s="28">
        <f t="shared" ref="J42:J45" si="13">(4*PI()/3)*$F$27^3*($B$9-$B$8)*($B$6/$E$18)*(ABS(D42)/$D$27^2)</f>
        <v>3.7392680666999008E-11</v>
      </c>
      <c r="K42" s="27">
        <f t="shared" ref="K42:K45" si="14">SQRT(G42^2*$I$27^2+H42^2*$F$18^2+I42^2*E42^2+J42^2*$E$28^2)</f>
        <v>1.7471427381157875E-15</v>
      </c>
      <c r="L42" s="53">
        <f t="shared" ref="L42:L45" si="15">K42/F42</f>
        <v>0.47313914294916848</v>
      </c>
    </row>
    <row r="43" spans="1:12" x14ac:dyDescent="0.25">
      <c r="A43" s="31">
        <v>3</v>
      </c>
      <c r="B43" s="33">
        <v>36.19</v>
      </c>
      <c r="C43" s="27">
        <f>B43-B42</f>
        <v>1.8200000000000003</v>
      </c>
      <c r="D43" s="28">
        <f t="shared" si="7"/>
        <v>2.7472527472527467E-4</v>
      </c>
      <c r="E43" s="28">
        <f t="shared" si="8"/>
        <v>5.3368160637796408E-5</v>
      </c>
      <c r="F43" s="28">
        <f t="shared" si="9"/>
        <v>2.4022255648677774E-15</v>
      </c>
      <c r="G43" s="28">
        <f t="shared" si="10"/>
        <v>8.3781648918597804E-9</v>
      </c>
      <c r="H43" s="28">
        <f t="shared" si="11"/>
        <v>6.0055639121694439E-17</v>
      </c>
      <c r="I43" s="27">
        <f t="shared" si="12"/>
        <v>6.7013202880636696E-12</v>
      </c>
      <c r="J43" s="28">
        <f t="shared" si="13"/>
        <v>2.1983608963565351E-11</v>
      </c>
      <c r="K43" s="27">
        <f t="shared" si="14"/>
        <v>9.8189688123287167E-16</v>
      </c>
      <c r="L43" s="53">
        <f t="shared" si="15"/>
        <v>0.4087446639453764</v>
      </c>
    </row>
    <row r="44" spans="1:12" x14ac:dyDescent="0.25">
      <c r="A44" s="31">
        <v>4</v>
      </c>
      <c r="B44" s="33">
        <v>38.049999999999997</v>
      </c>
      <c r="C44" s="27">
        <f>B44-B43</f>
        <v>1.8599999999999994</v>
      </c>
      <c r="D44" s="28">
        <f t="shared" si="7"/>
        <v>2.6881720430107538E-4</v>
      </c>
      <c r="E44" s="28">
        <f t="shared" si="8"/>
        <v>5.1097437650779578E-5</v>
      </c>
      <c r="F44" s="28">
        <f t="shared" si="9"/>
        <v>2.3626336926707817E-15</v>
      </c>
      <c r="G44" s="28">
        <f t="shared" si="10"/>
        <v>8.2400815917338311E-9</v>
      </c>
      <c r="H44" s="28">
        <f t="shared" si="11"/>
        <v>5.906584231676954E-17</v>
      </c>
      <c r="I44" s="27">
        <f t="shared" si="12"/>
        <v>6.7013202880636696E-12</v>
      </c>
      <c r="J44" s="28">
        <f t="shared" si="13"/>
        <v>2.151084317940267E-11</v>
      </c>
      <c r="K44" s="27">
        <f t="shared" si="14"/>
        <v>9.6229995217336454E-16</v>
      </c>
      <c r="L44" s="53">
        <f t="shared" si="15"/>
        <v>0.40729968219726692</v>
      </c>
    </row>
    <row r="45" spans="1:12" x14ac:dyDescent="0.25">
      <c r="A45" s="31">
        <v>5</v>
      </c>
      <c r="B45" s="33">
        <v>39.89</v>
      </c>
      <c r="C45" s="27">
        <f>B45-B44</f>
        <v>1.8400000000000034</v>
      </c>
      <c r="D45" s="28">
        <f t="shared" si="7"/>
        <v>2.7173913043478212E-4</v>
      </c>
      <c r="E45" s="28">
        <f>SQRT(2)*D45*$B$13/C45</f>
        <v>5.2214288544611373E-5</v>
      </c>
      <c r="F45" s="28">
        <f t="shared" si="9"/>
        <v>2.3822144555508139E-15</v>
      </c>
      <c r="G45" s="28">
        <f t="shared" si="10"/>
        <v>8.3083727890787166E-9</v>
      </c>
      <c r="H45" s="28">
        <f t="shared" si="11"/>
        <v>5.9555361388770344E-17</v>
      </c>
      <c r="I45" s="27">
        <f t="shared" si="12"/>
        <v>6.7013202880636696E-12</v>
      </c>
      <c r="J45" s="28">
        <f t="shared" si="13"/>
        <v>2.1744656692222218E-11</v>
      </c>
      <c r="K45" s="27">
        <f t="shared" si="14"/>
        <v>9.7196715078349391E-16</v>
      </c>
      <c r="L45" s="53">
        <f t="shared" si="15"/>
        <v>0.4080099289628214</v>
      </c>
    </row>
    <row r="46" spans="1:12" x14ac:dyDescent="0.25">
      <c r="L46" s="53"/>
    </row>
    <row r="49" spans="1:12" x14ac:dyDescent="0.25">
      <c r="A49" s="27" t="s">
        <v>7</v>
      </c>
    </row>
    <row r="50" spans="1:12" x14ac:dyDescent="0.25">
      <c r="B50" s="27" t="s">
        <v>23</v>
      </c>
      <c r="C50" s="27" t="s">
        <v>27</v>
      </c>
      <c r="D50" s="27" t="s">
        <v>24</v>
      </c>
      <c r="E50" s="27" t="s">
        <v>29</v>
      </c>
      <c r="F50" s="27" t="s">
        <v>37</v>
      </c>
      <c r="G50" s="27" t="s">
        <v>39</v>
      </c>
      <c r="H50" s="27" t="s">
        <v>40</v>
      </c>
      <c r="I50" s="27" t="s">
        <v>41</v>
      </c>
      <c r="J50" s="27" t="s">
        <v>42</v>
      </c>
      <c r="K50" s="27" t="s">
        <v>2</v>
      </c>
      <c r="L50" s="27" t="s">
        <v>43</v>
      </c>
    </row>
    <row r="51" spans="1:12" x14ac:dyDescent="0.25">
      <c r="A51" s="31">
        <v>6</v>
      </c>
      <c r="B51" s="34">
        <v>40.67</v>
      </c>
      <c r="C51" s="27">
        <f>B51-B45</f>
        <v>0.78000000000000114</v>
      </c>
      <c r="D51" s="28">
        <f>$B$12/C51</f>
        <v>6.4102564102564016E-4</v>
      </c>
      <c r="E51" s="28">
        <f>SQRT(2)*D51*$B$13/C51</f>
        <v>2.9055998569466865E-4</v>
      </c>
      <c r="F51" s="28">
        <f>-(4*PI()/3)*$F$27^3*($B$9-$B$8)*($B$6/$E$18)*(1-ABS(D51)/$D$27)</f>
        <v>3.7345146256667121E-15</v>
      </c>
      <c r="G51" s="28">
        <f>F51*3/$F$27</f>
        <v>1.3024746627663123E-8</v>
      </c>
      <c r="H51" s="28">
        <f>F51/$E$18</f>
        <v>9.3362865641667797E-17</v>
      </c>
      <c r="I51" s="27">
        <f>-(4*PI()/3)*$F$27^3*($B$9-$B$8)*($B$6/$E$18)*(-1/$D$27)</f>
        <v>6.7013202880636696E-12</v>
      </c>
      <c r="J51" s="28">
        <f>-(4*PI()/3)*$F$27^3*($B$9-$B$8)*($B$6/$E$18)*(-ABS(D51)/$D$27^2)</f>
        <v>5.1295087581652431E-11</v>
      </c>
      <c r="K51" s="27">
        <f>SQRT(G51^2*$I$27^2+H51^2*$F$18^2+I51^2*E51^2+J51^2*$E$28^2)</f>
        <v>2.4179220673216856E-15</v>
      </c>
      <c r="L51" s="53">
        <f>K51/F51</f>
        <v>0.64745283114000951</v>
      </c>
    </row>
    <row r="52" spans="1:12" x14ac:dyDescent="0.25">
      <c r="A52" s="31">
        <v>7</v>
      </c>
      <c r="B52" s="34">
        <v>41.44</v>
      </c>
      <c r="C52" s="27">
        <f>B52-B51</f>
        <v>0.76999999999999602</v>
      </c>
      <c r="D52" s="28">
        <f t="shared" ref="D52:D55" si="16">$B$12/C52</f>
        <v>6.4935064935065271E-4</v>
      </c>
      <c r="E52" s="28">
        <f t="shared" ref="E52:E54" si="17">SQRT(2)*D52*$B$13/C52</f>
        <v>2.9815600488554346E-4</v>
      </c>
      <c r="F52" s="28">
        <f t="shared" ref="F52:F55" si="18">-(4*PI()/3)*$F$27^3*($B$9-$B$8)*($B$6/$E$18)*(1-ABS(D52)/$D$27)</f>
        <v>3.7903031728534175E-15</v>
      </c>
      <c r="G52" s="28">
        <f t="shared" ref="G52:G55" si="19">F52*3/$F$27</f>
        <v>1.3219318550567974E-8</v>
      </c>
      <c r="H52" s="28">
        <f t="shared" ref="H52:H55" si="20">F52/$E$18</f>
        <v>9.4757579321335434E-17</v>
      </c>
      <c r="I52" s="27">
        <f t="shared" ref="I52:I55" si="21">-(4*PI()/3)*$F$27^3*($B$9-$B$8)*($B$6/$E$18)*(-1/$D$27)</f>
        <v>6.7013202880636696E-12</v>
      </c>
      <c r="J52" s="28">
        <f t="shared" ref="J52:J55" si="22">-(4*PI()/3)*$F$27^3*($B$9-$B$8)*($B$6/$E$18)*(-ABS(D52)/$D$27^2)</f>
        <v>5.1961257550245651E-11</v>
      </c>
      <c r="K52" s="27">
        <f t="shared" ref="K52:K55" si="23">SQRT(G52^2*$I$27^2+H52^2*$F$18^2+I52^2*E52^2+J52^2*$E$28^2)</f>
        <v>2.4715954722708247E-15</v>
      </c>
      <c r="L52" s="53">
        <f t="shared" ref="L52:L55" si="24">K52/F52</f>
        <v>0.65208384647768358</v>
      </c>
    </row>
    <row r="53" spans="1:12" x14ac:dyDescent="0.25">
      <c r="A53" s="31">
        <v>8</v>
      </c>
      <c r="B53" s="34">
        <v>42.71</v>
      </c>
      <c r="C53" s="27">
        <f>B53-B52</f>
        <v>1.2700000000000031</v>
      </c>
      <c r="D53" s="28">
        <f t="shared" si="16"/>
        <v>3.9370078740157382E-4</v>
      </c>
      <c r="E53" s="28">
        <f t="shared" si="17"/>
        <v>1.0960177028745491E-4</v>
      </c>
      <c r="F53" s="28">
        <f t="shared" si="18"/>
        <v>2.0771115663333793E-15</v>
      </c>
      <c r="G53" s="28">
        <f t="shared" si="19"/>
        <v>7.2442752487683457E-9</v>
      </c>
      <c r="H53" s="28">
        <f t="shared" si="20"/>
        <v>5.1927789158334481E-17</v>
      </c>
      <c r="I53" s="27">
        <f t="shared" si="21"/>
        <v>6.7013202880636696E-12</v>
      </c>
      <c r="J53" s="28">
        <f t="shared" si="22"/>
        <v>3.1504069538337677E-11</v>
      </c>
      <c r="K53" s="27">
        <f t="shared" si="23"/>
        <v>1.0859690753984558E-15</v>
      </c>
      <c r="L53" s="53">
        <f t="shared" si="24"/>
        <v>0.52282655058122973</v>
      </c>
    </row>
    <row r="54" spans="1:12" x14ac:dyDescent="0.25">
      <c r="A54" s="31">
        <v>9</v>
      </c>
      <c r="B54" s="34">
        <v>43.68</v>
      </c>
      <c r="C54" s="27">
        <f>B54-B53</f>
        <v>0.96999999999999886</v>
      </c>
      <c r="D54" s="28">
        <f t="shared" si="16"/>
        <v>5.1546391752577386E-4</v>
      </c>
      <c r="E54" s="28">
        <f t="shared" si="17"/>
        <v>1.8788042862858683E-4</v>
      </c>
      <c r="F54" s="28">
        <f t="shared" si="18"/>
        <v>2.893085300572817E-15</v>
      </c>
      <c r="G54" s="28">
        <f t="shared" si="19"/>
        <v>1.0090120615192487E-8</v>
      </c>
      <c r="H54" s="28">
        <f t="shared" si="20"/>
        <v>7.2327132514320421E-17</v>
      </c>
      <c r="I54" s="27">
        <f t="shared" si="21"/>
        <v>6.7013202880636696E-12</v>
      </c>
      <c r="J54" s="28">
        <f t="shared" si="22"/>
        <v>4.1247596199679385E-11</v>
      </c>
      <c r="K54" s="27">
        <f t="shared" si="23"/>
        <v>1.6796851790935733E-15</v>
      </c>
      <c r="L54" s="53">
        <f t="shared" si="24"/>
        <v>0.58058612331997395</v>
      </c>
    </row>
    <row r="55" spans="1:12" x14ac:dyDescent="0.25">
      <c r="A55" s="31">
        <v>10</v>
      </c>
      <c r="B55" s="34">
        <v>44.83</v>
      </c>
      <c r="C55" s="27">
        <f>B55-B54</f>
        <v>1.1499999999999986</v>
      </c>
      <c r="D55" s="28">
        <f t="shared" si="16"/>
        <v>4.3478260869565273E-4</v>
      </c>
      <c r="E55" s="28">
        <f>SQRT(2)*D55*$B$13/C55</f>
        <v>1.3366857867420592E-4</v>
      </c>
      <c r="F55" s="28">
        <f t="shared" si="18"/>
        <v>2.3524140088419963E-15</v>
      </c>
      <c r="G55" s="28">
        <f t="shared" si="19"/>
        <v>8.2044387289184272E-9</v>
      </c>
      <c r="H55" s="28">
        <f t="shared" si="20"/>
        <v>5.8810350221049906E-17</v>
      </c>
      <c r="I55" s="27">
        <f t="shared" si="21"/>
        <v>6.7013202880636696E-12</v>
      </c>
      <c r="J55" s="28">
        <f t="shared" si="22"/>
        <v>3.4791450707555653E-11</v>
      </c>
      <c r="K55" s="27">
        <f t="shared" si="23"/>
        <v>1.2734422254840859E-15</v>
      </c>
      <c r="L55" s="53">
        <f t="shared" si="24"/>
        <v>0.5413342297306557</v>
      </c>
    </row>
    <row r="56" spans="1:12" x14ac:dyDescent="0.25">
      <c r="L56" s="53"/>
    </row>
    <row r="57" spans="1:12" x14ac:dyDescent="0.25">
      <c r="L57" s="53"/>
    </row>
    <row r="59" spans="1:12" x14ac:dyDescent="0.25">
      <c r="B59" s="27" t="s">
        <v>38</v>
      </c>
    </row>
    <row r="60" spans="1:12" x14ac:dyDescent="0.25">
      <c r="A60" s="28"/>
      <c r="B60" s="27" t="s">
        <v>44</v>
      </c>
      <c r="C60" s="27" t="s">
        <v>45</v>
      </c>
    </row>
    <row r="61" spans="1:12" x14ac:dyDescent="0.25">
      <c r="A61" s="27">
        <v>1</v>
      </c>
      <c r="B61" s="28">
        <f>F41</f>
        <v>2.1417035756469758E-15</v>
      </c>
      <c r="C61" s="27">
        <f>K41</f>
        <v>8.5644654597474718E-16</v>
      </c>
    </row>
    <row r="62" spans="1:12" x14ac:dyDescent="0.25">
      <c r="A62" s="27">
        <v>2</v>
      </c>
      <c r="B62" s="28">
        <f t="shared" ref="B62:B65" si="25">F42</f>
        <v>3.6926615862418533E-15</v>
      </c>
      <c r="C62" s="27">
        <f t="shared" ref="C62:C65" si="26">K42</f>
        <v>1.7471427381157875E-15</v>
      </c>
    </row>
    <row r="63" spans="1:12" x14ac:dyDescent="0.25">
      <c r="A63" s="27">
        <v>3</v>
      </c>
      <c r="B63" s="28">
        <f t="shared" si="25"/>
        <v>2.4022255648677774E-15</v>
      </c>
      <c r="C63" s="27">
        <f t="shared" si="26"/>
        <v>9.8189688123287167E-16</v>
      </c>
    </row>
    <row r="64" spans="1:12" x14ac:dyDescent="0.25">
      <c r="A64" s="27">
        <v>4</v>
      </c>
      <c r="B64" s="28">
        <f t="shared" si="25"/>
        <v>2.3626336926707817E-15</v>
      </c>
      <c r="C64" s="27">
        <f t="shared" si="26"/>
        <v>9.6229995217336454E-16</v>
      </c>
    </row>
    <row r="65" spans="1:3" x14ac:dyDescent="0.25">
      <c r="A65" s="27">
        <v>5</v>
      </c>
      <c r="B65" s="28">
        <f t="shared" si="25"/>
        <v>2.3822144555508139E-15</v>
      </c>
      <c r="C65" s="27">
        <f t="shared" si="26"/>
        <v>9.7196715078349391E-16</v>
      </c>
    </row>
    <row r="66" spans="1:3" x14ac:dyDescent="0.25">
      <c r="A66" s="27">
        <v>6</v>
      </c>
      <c r="B66" s="28">
        <f>F51</f>
        <v>3.7345146256667121E-15</v>
      </c>
      <c r="C66" s="27">
        <f>K51</f>
        <v>2.4179220673216856E-15</v>
      </c>
    </row>
    <row r="67" spans="1:3" x14ac:dyDescent="0.25">
      <c r="A67" s="27">
        <v>7</v>
      </c>
      <c r="B67" s="28">
        <f t="shared" ref="B67:B70" si="27">F52</f>
        <v>3.7903031728534175E-15</v>
      </c>
      <c r="C67" s="27">
        <f t="shared" ref="C67:C70" si="28">K52</f>
        <v>2.4715954722708247E-15</v>
      </c>
    </row>
    <row r="68" spans="1:3" x14ac:dyDescent="0.25">
      <c r="A68" s="27">
        <v>8</v>
      </c>
      <c r="B68" s="28">
        <f t="shared" si="27"/>
        <v>2.0771115663333793E-15</v>
      </c>
      <c r="C68" s="27">
        <f t="shared" si="28"/>
        <v>1.0859690753984558E-15</v>
      </c>
    </row>
    <row r="69" spans="1:3" x14ac:dyDescent="0.25">
      <c r="A69" s="27">
        <v>9</v>
      </c>
      <c r="B69" s="28">
        <f t="shared" si="27"/>
        <v>2.893085300572817E-15</v>
      </c>
      <c r="C69" s="27">
        <f t="shared" si="28"/>
        <v>1.6796851790935733E-15</v>
      </c>
    </row>
    <row r="70" spans="1:3" x14ac:dyDescent="0.25">
      <c r="A70" s="27">
        <v>10</v>
      </c>
      <c r="B70" s="28">
        <f t="shared" si="27"/>
        <v>2.3524140088419963E-15</v>
      </c>
      <c r="C70" s="27">
        <f t="shared" si="28"/>
        <v>1.2734422254840859E-15</v>
      </c>
    </row>
  </sheetData>
  <mergeCells count="2">
    <mergeCell ref="A1:C2"/>
    <mergeCell ref="A14:C15"/>
  </mergeCells>
  <conditionalFormatting sqref="C32:G36">
    <cfRule type="cellIs" dxfId="60" priority="9" operator="notBetween">
      <formula>-1.96</formula>
      <formula>1.96</formula>
    </cfRule>
  </conditionalFormatting>
  <conditionalFormatting sqref="L57">
    <cfRule type="cellIs" dxfId="59" priority="5" operator="greaterThan">
      <formula>0.4</formula>
    </cfRule>
    <cfRule type="cellIs" priority="6" operator="greaterThan">
      <formula>0.04</formula>
    </cfRule>
  </conditionalFormatting>
  <conditionalFormatting sqref="L41:L46">
    <cfRule type="cellIs" priority="4" operator="greaterThan">
      <formula>0.04</formula>
    </cfRule>
  </conditionalFormatting>
  <conditionalFormatting sqref="L51:L56">
    <cfRule type="cellIs" priority="2" operator="greaterThan">
      <formula>0.04</formula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3" operator="greaterThan" id="{8B0BC9E1-B01E-4471-9679-BF5CF223A990}">
            <xm:f>Dati!$B$14</xm:f>
            <x14:dxf>
              <fill>
                <patternFill>
                  <bgColor theme="5"/>
                </patternFill>
              </fill>
            </x14:dxf>
          </x14:cfRule>
          <xm:sqref>L41:L46</xm:sqref>
        </x14:conditionalFormatting>
        <x14:conditionalFormatting xmlns:xm="http://schemas.microsoft.com/office/excel/2006/main">
          <x14:cfRule type="cellIs" priority="1" operator="greaterThan" id="{3D9B23EB-A3E4-478B-B760-547D71C2DFF7}">
            <xm:f>Dati!$B$14</xm:f>
            <x14:dxf>
              <fill>
                <patternFill>
                  <bgColor theme="5"/>
                </patternFill>
              </fill>
            </x14:dxf>
          </x14:cfRule>
          <xm:sqref>L51:L56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workbookViewId="0">
      <selection activeCell="C23" sqref="C23"/>
    </sheetView>
  </sheetViews>
  <sheetFormatPr defaultRowHeight="15" x14ac:dyDescent="0.25"/>
  <cols>
    <col min="1" max="1" width="13.140625" style="34" customWidth="1"/>
    <col min="2" max="2" width="9.140625" style="34"/>
    <col min="3" max="5" width="12" style="34" customWidth="1"/>
    <col min="6" max="7" width="12.140625" style="34" customWidth="1"/>
    <col min="8" max="9" width="12" style="34" customWidth="1"/>
    <col min="10" max="10" width="9.140625" style="34"/>
    <col min="11" max="11" width="12" style="34" customWidth="1"/>
    <col min="12" max="16384" width="9.140625" style="34"/>
  </cols>
  <sheetData>
    <row r="1" spans="1:5" x14ac:dyDescent="0.25">
      <c r="A1" s="187" t="str">
        <f>[1]Dati!A1</f>
        <v>Costanti varie</v>
      </c>
      <c r="B1" s="187"/>
      <c r="C1" s="187"/>
    </row>
    <row r="2" spans="1:5" x14ac:dyDescent="0.25">
      <c r="A2" s="187"/>
      <c r="B2" s="187"/>
      <c r="C2" s="187"/>
    </row>
    <row r="4" spans="1:5" x14ac:dyDescent="0.25">
      <c r="B4" s="34" t="s">
        <v>1</v>
      </c>
      <c r="C4" s="34" t="s">
        <v>2</v>
      </c>
    </row>
    <row r="5" spans="1:5" x14ac:dyDescent="0.25">
      <c r="A5" s="34" t="str">
        <f>[1]Dati!A5</f>
        <v>d</v>
      </c>
      <c r="B5" s="35">
        <v>7.6</v>
      </c>
      <c r="C5" s="34">
        <f>[1]Dati!C5</f>
        <v>1.0000000000000001E-5</v>
      </c>
    </row>
    <row r="6" spans="1:5" x14ac:dyDescent="0.25">
      <c r="A6" s="34" t="str">
        <f>[1]Dati!A6</f>
        <v>g</v>
      </c>
      <c r="B6" s="34">
        <f>[1]Dati!B6</f>
        <v>9.8059999999999992</v>
      </c>
      <c r="C6" s="34">
        <f>[1]Dati!C6</f>
        <v>0</v>
      </c>
    </row>
    <row r="7" spans="1:5" x14ac:dyDescent="0.25">
      <c r="A7" s="34" t="str">
        <f>[1]Dati!A7</f>
        <v>pressione</v>
      </c>
      <c r="B7" s="34">
        <f>[1]Dati!B7</f>
        <v>101325</v>
      </c>
      <c r="C7" s="34">
        <f>[1]Dati!C7</f>
        <v>0</v>
      </c>
    </row>
    <row r="8" spans="1:5" x14ac:dyDescent="0.25">
      <c r="A8" s="34" t="str">
        <f>[1]Dati!A8</f>
        <v>densità aria</v>
      </c>
      <c r="B8" s="34">
        <v>0</v>
      </c>
      <c r="C8" s="34">
        <f>[1]Dati!C8</f>
        <v>0</v>
      </c>
    </row>
    <row r="9" spans="1:5" x14ac:dyDescent="0.25">
      <c r="A9" s="34" t="str">
        <f>[1]Dati!A9</f>
        <v>densità olio</v>
      </c>
      <c r="B9" s="34">
        <v>858.7</v>
      </c>
      <c r="C9" s="34">
        <f>[1]Dati!C9</f>
        <v>0</v>
      </c>
    </row>
    <row r="10" spans="1:5" x14ac:dyDescent="0.25">
      <c r="A10" s="34" t="str">
        <f>[1]Dati!A10</f>
        <v>cst corr vis</v>
      </c>
      <c r="B10" s="34">
        <f>[1]Dati!B10</f>
        <v>8.2000000000000007E-3</v>
      </c>
      <c r="C10" s="34">
        <f>[1]Dati!C10</f>
        <v>0</v>
      </c>
    </row>
    <row r="11" spans="1:5" x14ac:dyDescent="0.25">
      <c r="A11" s="34" t="str">
        <f>[1]Dati!A11</f>
        <v>e</v>
      </c>
      <c r="B11" s="34">
        <f>[1]Dati!B11</f>
        <v>1.6021766200000001E-19</v>
      </c>
      <c r="C11" s="34">
        <f>[1]Dati!C11</f>
        <v>0</v>
      </c>
    </row>
    <row r="12" spans="1:5" x14ac:dyDescent="0.25">
      <c r="A12" s="34" t="str">
        <f>[1]Dati!A12</f>
        <v>deltax</v>
      </c>
      <c r="B12" s="34">
        <f>[1]Dati!B12</f>
        <v>5.0000000000000001E-4</v>
      </c>
      <c r="C12" s="34">
        <f>[1]Dati!C12</f>
        <v>0</v>
      </c>
    </row>
    <row r="13" spans="1:5" x14ac:dyDescent="0.25">
      <c r="A13" s="34" t="s">
        <v>30</v>
      </c>
      <c r="B13" s="34">
        <f>Dati!B13</f>
        <v>0.25</v>
      </c>
    </row>
    <row r="14" spans="1:5" x14ac:dyDescent="0.25">
      <c r="A14" s="187" t="s">
        <v>17</v>
      </c>
      <c r="B14" s="187"/>
      <c r="C14" s="187"/>
      <c r="D14" s="37"/>
    </row>
    <row r="15" spans="1:5" x14ac:dyDescent="0.25">
      <c r="A15" s="187"/>
      <c r="B15" s="187"/>
      <c r="C15" s="187"/>
      <c r="D15" s="37"/>
    </row>
    <row r="16" spans="1:5" x14ac:dyDescent="0.25">
      <c r="A16" s="34" t="s">
        <v>18</v>
      </c>
      <c r="B16" s="34">
        <v>304</v>
      </c>
      <c r="C16" s="34">
        <f>B16/100</f>
        <v>3.04</v>
      </c>
      <c r="D16" s="34" t="s">
        <v>19</v>
      </c>
      <c r="E16" s="34">
        <f>(1.8+(B18-15)*0.004765)*0.00001</f>
        <v>1.8238250000000001E-5</v>
      </c>
    </row>
    <row r="17" spans="1:10" x14ac:dyDescent="0.25">
      <c r="A17" s="34" t="s">
        <v>20</v>
      </c>
      <c r="E17" s="36"/>
    </row>
    <row r="18" spans="1:10" x14ac:dyDescent="0.25">
      <c r="A18" s="34" t="s">
        <v>21</v>
      </c>
      <c r="B18" s="34">
        <v>20</v>
      </c>
      <c r="C18" s="34">
        <v>0.5</v>
      </c>
      <c r="D18" s="34" t="s">
        <v>22</v>
      </c>
      <c r="E18" s="35">
        <f>B16/B5</f>
        <v>40</v>
      </c>
      <c r="F18" s="34">
        <f>SQRT((C16/B5)^2+(B16*C5/B5^2)^2)</f>
        <v>0.40000000346260389</v>
      </c>
      <c r="G18" s="35"/>
    </row>
    <row r="21" spans="1:10" x14ac:dyDescent="0.25">
      <c r="B21" s="34" t="s">
        <v>23</v>
      </c>
      <c r="C21" s="34" t="s">
        <v>27</v>
      </c>
      <c r="D21" s="34" t="s">
        <v>24</v>
      </c>
      <c r="E21" s="34" t="s">
        <v>29</v>
      </c>
      <c r="F21" s="34" t="s">
        <v>25</v>
      </c>
      <c r="G21" s="34" t="s">
        <v>26</v>
      </c>
      <c r="H21" s="34" t="s">
        <v>28</v>
      </c>
      <c r="I21" s="34" t="s">
        <v>31</v>
      </c>
      <c r="J21" s="34" t="s">
        <v>32</v>
      </c>
    </row>
    <row r="22" spans="1:10" x14ac:dyDescent="0.25">
      <c r="A22" s="34">
        <v>1</v>
      </c>
      <c r="B22" s="39">
        <v>5.94</v>
      </c>
      <c r="C22" s="34">
        <f>B22</f>
        <v>5.94</v>
      </c>
      <c r="D22" s="35">
        <f>B12/B22</f>
        <v>8.4175084175084166E-5</v>
      </c>
      <c r="E22" s="35">
        <f>SQRT(2)*D22*$B$13/C22</f>
        <v>5.0101660628914529E-6</v>
      </c>
      <c r="F22" s="5">
        <f>(($B$10/(2*$B$7))^2+9*$E$16*D22/(2*$B$6*($B$9-$B$8)))^(1/2)-$B$10/(2*$B$7)</f>
        <v>8.6621996494874928E-7</v>
      </c>
      <c r="G22" s="34">
        <f>(($B$10/(2*$B$7))^2+9*$E$16*D22/(2*$B$6*($B$9-$B$8)))^(-1/2)*(9*$E$16)/(4*$B$6*$B$9)</f>
        <v>5.3749752105057211E-3</v>
      </c>
      <c r="H22" s="34">
        <f>(($B$10/(2*$B$7))^2+9*$E$16*D22/(2*$B$6*($B$9-$B$8)))^(-1/2)*((9*D22)/(4*$B$6*$B$9))*0.00000004765</f>
        <v>1.1820606643085117E-9</v>
      </c>
      <c r="I22" s="34">
        <f>SQRT(G22^2*E22^2+H22^2*$C$18^2+$F$28^2)</f>
        <v>6.0468946968854628E-8</v>
      </c>
      <c r="J22" s="35">
        <f>I22/F22</f>
        <v>6.9807842598539421E-2</v>
      </c>
    </row>
    <row r="23" spans="1:10" x14ac:dyDescent="0.25">
      <c r="A23" s="34">
        <v>2</v>
      </c>
      <c r="B23" s="39">
        <v>13.44</v>
      </c>
      <c r="C23" s="34">
        <f>B23-B22</f>
        <v>7.4999999999999991</v>
      </c>
      <c r="D23" s="35">
        <f>$B$12/(B23-B22)</f>
        <v>6.666666666666667E-5</v>
      </c>
      <c r="E23" s="35">
        <f t="shared" ref="E23:E25" si="0">SQRT(2)*D23*$B$13/C23</f>
        <v>3.1426968052735456E-6</v>
      </c>
      <c r="F23" s="5">
        <f>(($B$10/(2*$B$7))^2+9*E16*D23/(2*$B$6*($B$9-$B$8)))^(1/2)-$B$10/(2*$B$7)</f>
        <v>7.6664481089513925E-7</v>
      </c>
      <c r="G23" s="34">
        <f t="shared" ref="G23:G27" si="1">(($B$10/(2*$B$7))^2+9*$E$16*D23/(2*$B$6*($B$9-$B$8)))^(-1/2)*(9*$E$16)/(4*$B$6*$B$9)</f>
        <v>6.0381002740098333E-3</v>
      </c>
      <c r="H23" s="34">
        <f t="shared" ref="H23:H27" si="2">(($B$10/(2*$B$7))^2+9*$E$16*D23/(2*$B$6*($B$9-$B$8)))^(-1/2)*((9*D23)/(4*$B$6*$B$9))*0.00000004765</f>
        <v>1.0516925620845149E-9</v>
      </c>
      <c r="I23" s="34">
        <f t="shared" ref="I23:I27" si="3">SQRT(G23^2*E23^2+H23^2*$C$18^2+$F$28^2)</f>
        <v>5.7369916027667798E-8</v>
      </c>
      <c r="J23" s="35">
        <f t="shared" ref="J23:J27" si="4">I23/F23</f>
        <v>7.4832458541892855E-2</v>
      </c>
    </row>
    <row r="24" spans="1:10" x14ac:dyDescent="0.25">
      <c r="A24" s="34">
        <v>3</v>
      </c>
      <c r="B24" s="39">
        <v>20.309999999999999</v>
      </c>
      <c r="C24" s="34">
        <f t="shared" ref="C24:C26" si="5">B24-B23</f>
        <v>6.8699999999999992</v>
      </c>
      <c r="D24" s="35">
        <f>$B$12/(B24-B23)</f>
        <v>7.2780203784570603E-5</v>
      </c>
      <c r="E24" s="35">
        <f t="shared" si="0"/>
        <v>3.7455149659540547E-6</v>
      </c>
      <c r="F24" s="5">
        <f>(($B$10/(2*$B$7))^2+9*E16*D24/(2*$B$6*($B$9-$B$8)))^(1/2)-$B$10/(2*$B$7)</f>
        <v>8.0275133670171559E-7</v>
      </c>
      <c r="G24" s="34">
        <f t="shared" si="1"/>
        <v>5.7795484526159185E-3</v>
      </c>
      <c r="H24" s="34">
        <f t="shared" si="2"/>
        <v>1.098972732028757E-9</v>
      </c>
      <c r="I24" s="34">
        <f t="shared" si="3"/>
        <v>5.8308288368005442E-8</v>
      </c>
      <c r="J24" s="35">
        <f t="shared" si="4"/>
        <v>7.263555437674904E-2</v>
      </c>
    </row>
    <row r="25" spans="1:10" x14ac:dyDescent="0.25">
      <c r="A25" s="34">
        <v>4</v>
      </c>
      <c r="B25" s="39">
        <v>27.48</v>
      </c>
      <c r="C25" s="34">
        <f t="shared" si="5"/>
        <v>7.1700000000000017</v>
      </c>
      <c r="D25" s="35">
        <f>$B$12/(B25-B24)</f>
        <v>6.9735006973500684E-5</v>
      </c>
      <c r="E25" s="35">
        <f t="shared" si="0"/>
        <v>3.4386399105337173E-6</v>
      </c>
      <c r="F25" s="5">
        <f>(($B$10/(2*$B$7))^2+9*E16*D25/(2*$B$6*($B$9-$B$8)))^(1/2)-$B$10/(2*$B$7)</f>
        <v>7.8496386238245675E-7</v>
      </c>
      <c r="G25" s="34">
        <f t="shared" si="1"/>
        <v>5.90409427006971E-3</v>
      </c>
      <c r="H25" s="34">
        <f t="shared" si="2"/>
        <v>1.0756819281072127E-9</v>
      </c>
      <c r="I25" s="34">
        <f t="shared" si="3"/>
        <v>5.7822209810516639E-8</v>
      </c>
      <c r="J25" s="35">
        <f t="shared" si="4"/>
        <v>7.3662257056037586E-2</v>
      </c>
    </row>
    <row r="26" spans="1:10" x14ac:dyDescent="0.25">
      <c r="A26" s="34">
        <v>5</v>
      </c>
      <c r="B26" s="39">
        <v>33.090000000000003</v>
      </c>
      <c r="C26" s="34">
        <f t="shared" si="5"/>
        <v>5.610000000000003</v>
      </c>
      <c r="D26" s="35">
        <f>$B$12/(B26-B25)</f>
        <v>8.9126559714794966E-5</v>
      </c>
      <c r="E26" s="35">
        <f>SQRT(2)*D26*$B$13/C26</f>
        <v>5.6169335791585784E-6</v>
      </c>
      <c r="F26" s="5">
        <f>(($B$10/(2*$B$7))^2+9*E16*D26/(2*$B$6*($B$9-$B$8)))^(1/2)-$B$10/(2*$B$7)</f>
        <v>8.9245448087395639E-7</v>
      </c>
      <c r="G26" s="34">
        <f t="shared" si="1"/>
        <v>5.2238259968005064E-3</v>
      </c>
      <c r="H26" s="34">
        <f t="shared" si="2"/>
        <v>1.2163976877723802E-9</v>
      </c>
      <c r="I26" s="34">
        <f t="shared" si="3"/>
        <v>6.1581338993036489E-8</v>
      </c>
      <c r="J26" s="35">
        <f t="shared" si="4"/>
        <v>6.900221839071452E-2</v>
      </c>
    </row>
    <row r="27" spans="1:10" x14ac:dyDescent="0.25">
      <c r="A27" s="7" t="s">
        <v>34</v>
      </c>
      <c r="B27" s="7"/>
      <c r="C27" s="7">
        <f>AVERAGE(C22:C26)</f>
        <v>6.6180000000000003</v>
      </c>
      <c r="D27" s="7">
        <f>AVERAGE(D22:D26)</f>
        <v>7.6496704262923418E-5</v>
      </c>
      <c r="E27" s="8">
        <f>SQRT(2)*D27*$B$13/C27</f>
        <v>4.0866831612824893E-6</v>
      </c>
      <c r="F27" s="9">
        <f>AVERAGE(F22:F26)</f>
        <v>8.2260689116040356E-7</v>
      </c>
      <c r="G27" s="7">
        <f t="shared" si="1"/>
        <v>5.6377196526928757E-3</v>
      </c>
      <c r="H27" s="7">
        <f t="shared" si="2"/>
        <v>1.126745782240128E-9</v>
      </c>
      <c r="I27" s="7">
        <f t="shared" si="3"/>
        <v>5.8839481879826879E-8</v>
      </c>
      <c r="J27" s="8">
        <f t="shared" si="4"/>
        <v>7.1528068281588864E-2</v>
      </c>
    </row>
    <row r="28" spans="1:10" x14ac:dyDescent="0.25">
      <c r="A28" s="34" t="s">
        <v>35</v>
      </c>
      <c r="C28" s="6">
        <f>_xlfn.STDEV.S(C22:C26)</f>
        <v>0.8096110177115885</v>
      </c>
      <c r="D28" s="35">
        <f>_xlfn.STDEV.S(D22:D26)</f>
        <v>9.677723544225777E-6</v>
      </c>
      <c r="E28" s="8">
        <f>SQRT(2)*D28*$B$13/C28</f>
        <v>4.2262171554392899E-6</v>
      </c>
      <c r="F28" s="35">
        <f>_xlfn.STDEV.S(F22:F26)</f>
        <v>5.4138205271590878E-8</v>
      </c>
    </row>
    <row r="30" spans="1:10" x14ac:dyDescent="0.25">
      <c r="A30" s="34" t="s">
        <v>31</v>
      </c>
      <c r="C30" s="34">
        <f t="array" ref="C30:G31">TRANSPOSE(A32:B36)</f>
        <v>6.0468946968854628E-8</v>
      </c>
      <c r="D30" s="34">
        <v>5.7369916027667798E-8</v>
      </c>
      <c r="E30" s="34">
        <v>5.8308288368005442E-8</v>
      </c>
      <c r="F30" s="34">
        <v>5.7822209810516639E-8</v>
      </c>
      <c r="G30" s="34">
        <v>6.1581338993036489E-8</v>
      </c>
    </row>
    <row r="31" spans="1:10" x14ac:dyDescent="0.25">
      <c r="B31" s="34" t="s">
        <v>25</v>
      </c>
      <c r="C31" s="34">
        <v>8.6621996494874928E-7</v>
      </c>
      <c r="D31" s="34">
        <v>7.6664481089513925E-7</v>
      </c>
      <c r="E31" s="34">
        <v>8.0275133670171559E-7</v>
      </c>
      <c r="F31" s="34">
        <v>7.8496386238245675E-7</v>
      </c>
      <c r="G31" s="34">
        <v>8.9245448087395639E-7</v>
      </c>
    </row>
    <row r="32" spans="1:10" x14ac:dyDescent="0.25">
      <c r="A32" s="34">
        <f>I22</f>
        <v>6.0468946968854628E-8</v>
      </c>
      <c r="B32" s="5">
        <f>F22</f>
        <v>8.6621996494874928E-7</v>
      </c>
      <c r="C32" s="34">
        <f t="shared" ref="C32:G36" si="6">(C$31-$B32)/SQRT(C$30^2+$A32^2)</f>
        <v>0</v>
      </c>
      <c r="D32" s="34">
        <f t="shared" si="6"/>
        <v>-1.1946131950803298</v>
      </c>
      <c r="E32" s="34">
        <f t="shared" si="6"/>
        <v>-0.75556016670598325</v>
      </c>
      <c r="F32" s="34">
        <f t="shared" si="6"/>
        <v>-0.97120301818765875</v>
      </c>
      <c r="G32" s="34">
        <f t="shared" si="6"/>
        <v>0.30397034345494972</v>
      </c>
    </row>
    <row r="33" spans="1:12" x14ac:dyDescent="0.25">
      <c r="A33" s="34">
        <f>I23</f>
        <v>5.7369916027667798E-8</v>
      </c>
      <c r="B33" s="5">
        <f>F23</f>
        <v>7.6664481089513925E-7</v>
      </c>
      <c r="C33" s="34">
        <f t="shared" si="6"/>
        <v>1.1946131950803298</v>
      </c>
      <c r="D33" s="34">
        <f t="shared" si="6"/>
        <v>0</v>
      </c>
      <c r="E33" s="34">
        <f t="shared" si="6"/>
        <v>0.44140258574794222</v>
      </c>
      <c r="F33" s="34">
        <f t="shared" si="6"/>
        <v>0.22490123499687445</v>
      </c>
      <c r="G33" s="34">
        <f t="shared" si="6"/>
        <v>1.4948168054483535</v>
      </c>
    </row>
    <row r="34" spans="1:12" x14ac:dyDescent="0.25">
      <c r="A34" s="34">
        <f>I24</f>
        <v>5.8308288368005442E-8</v>
      </c>
      <c r="B34" s="5">
        <f>F24</f>
        <v>8.0275133670171559E-7</v>
      </c>
      <c r="C34" s="34">
        <f t="shared" si="6"/>
        <v>0.75556016670598325</v>
      </c>
      <c r="D34" s="34">
        <f t="shared" si="6"/>
        <v>-0.44140258574794222</v>
      </c>
      <c r="E34" s="34">
        <f t="shared" si="6"/>
        <v>0</v>
      </c>
      <c r="F34" s="34">
        <f t="shared" si="6"/>
        <v>-0.21661034324975545</v>
      </c>
      <c r="G34" s="34">
        <f t="shared" si="6"/>
        <v>1.0577408313965802</v>
      </c>
    </row>
    <row r="35" spans="1:12" x14ac:dyDescent="0.25">
      <c r="A35" s="34">
        <f>I25</f>
        <v>5.7822209810516639E-8</v>
      </c>
      <c r="B35" s="5">
        <f>F25</f>
        <v>7.8496386238245675E-7</v>
      </c>
      <c r="C35" s="34">
        <f t="shared" si="6"/>
        <v>0.97120301818765875</v>
      </c>
      <c r="D35" s="34">
        <f t="shared" si="6"/>
        <v>-0.22490123499687445</v>
      </c>
      <c r="E35" s="34">
        <f t="shared" si="6"/>
        <v>0.21661034324975545</v>
      </c>
      <c r="F35" s="34">
        <f t="shared" si="6"/>
        <v>0</v>
      </c>
      <c r="G35" s="34">
        <f t="shared" si="6"/>
        <v>1.2724865649604518</v>
      </c>
    </row>
    <row r="36" spans="1:12" x14ac:dyDescent="0.25">
      <c r="A36" s="34">
        <f>I26</f>
        <v>6.1581338993036489E-8</v>
      </c>
      <c r="B36" s="5">
        <f>F26</f>
        <v>8.9245448087395639E-7</v>
      </c>
      <c r="C36" s="34">
        <f t="shared" si="6"/>
        <v>-0.30397034345494972</v>
      </c>
      <c r="D36" s="34">
        <f t="shared" si="6"/>
        <v>-1.4948168054483535</v>
      </c>
      <c r="E36" s="34">
        <f t="shared" si="6"/>
        <v>-1.0577408313965802</v>
      </c>
      <c r="F36" s="34">
        <f t="shared" si="6"/>
        <v>-1.2724865649604518</v>
      </c>
      <c r="G36" s="34">
        <f t="shared" si="6"/>
        <v>0</v>
      </c>
    </row>
    <row r="39" spans="1:12" x14ac:dyDescent="0.25">
      <c r="A39" s="34" t="s">
        <v>7</v>
      </c>
    </row>
    <row r="40" spans="1:12" x14ac:dyDescent="0.25">
      <c r="B40" s="34" t="s">
        <v>36</v>
      </c>
      <c r="C40" s="34" t="s">
        <v>27</v>
      </c>
      <c r="D40" s="34" t="s">
        <v>24</v>
      </c>
      <c r="E40" s="34" t="s">
        <v>29</v>
      </c>
      <c r="F40" s="34" t="s">
        <v>37</v>
      </c>
      <c r="G40" s="34" t="s">
        <v>39</v>
      </c>
      <c r="H40" s="34" t="s">
        <v>40</v>
      </c>
      <c r="I40" s="34" t="s">
        <v>41</v>
      </c>
      <c r="J40" s="34" t="s">
        <v>42</v>
      </c>
      <c r="K40" s="34" t="s">
        <v>2</v>
      </c>
      <c r="L40" s="34" t="s">
        <v>43</v>
      </c>
    </row>
    <row r="41" spans="1:12" x14ac:dyDescent="0.25">
      <c r="A41" s="38">
        <v>1</v>
      </c>
      <c r="B41" s="40">
        <v>34</v>
      </c>
      <c r="C41" s="34">
        <f>B41-B26</f>
        <v>0.90999999999999659</v>
      </c>
      <c r="D41" s="35">
        <f>$B$12/C41</f>
        <v>5.4945054945055151E-4</v>
      </c>
      <c r="E41" s="35">
        <f>SQRT(2)*D41*$B$13/C41</f>
        <v>2.1347264255118734E-4</v>
      </c>
      <c r="F41" s="35">
        <f>(4*PI()/3)*$F$27^3*($B$9-$B$8)*($B$6/$E$18)*(1+ABS(D41)/$D$27)</f>
        <v>4.0163727658283881E-15</v>
      </c>
      <c r="G41" s="35">
        <f>F41*3/$F$27</f>
        <v>1.4647480378493032E-8</v>
      </c>
      <c r="H41" s="35">
        <f>F41/$E$18</f>
        <v>1.004093191457097E-16</v>
      </c>
      <c r="I41" s="34">
        <f>(4*PI()/3)*$F$27^3*($B$9-$B$8)*($B$6/$E$18)*(1/$D$27)</f>
        <v>6.416471582870572E-12</v>
      </c>
      <c r="J41" s="35">
        <f>(4*PI()/3)*$F$27^3*($B$9-$B$8)*($B$6/$E$18)*(ABS(D41)/$D$27^2)</f>
        <v>4.6087395146131137E-11</v>
      </c>
      <c r="K41" s="34">
        <f>SQRT(G41^2*$I$27^2+H41^2*$F$18^2+I41^2*E41^2+J41^2*$E$28^2)</f>
        <v>1.6304990197524633E-15</v>
      </c>
      <c r="L41" s="53">
        <f>K41/F41</f>
        <v>0.4059630703665944</v>
      </c>
    </row>
    <row r="42" spans="1:12" x14ac:dyDescent="0.25">
      <c r="A42" s="38">
        <v>2</v>
      </c>
      <c r="B42" s="40">
        <v>34.799999999999997</v>
      </c>
      <c r="C42" s="34">
        <f>B42-B41</f>
        <v>0.79999999999999716</v>
      </c>
      <c r="D42" s="35">
        <f t="shared" ref="D42:D45" si="7">$B$12/C42</f>
        <v>6.2500000000000218E-4</v>
      </c>
      <c r="E42" s="35">
        <f t="shared" ref="E42:E44" si="8">SQRT(2)*D42*$B$13/C42</f>
        <v>2.7621358640099708E-4</v>
      </c>
      <c r="F42" s="35">
        <f t="shared" ref="F42:F45" si="9">(4*PI()/3)*$F$27^3*($B$9-$B$8)*($B$6/$E$18)*(1+ABS(D42)/$D$27)</f>
        <v>4.5011336683804236E-15</v>
      </c>
      <c r="G42" s="35">
        <f t="shared" ref="G42:G45" si="10">F42*3/$F$27</f>
        <v>1.6415375497393184E-8</v>
      </c>
      <c r="H42" s="35">
        <f t="shared" ref="H42:H45" si="11">F42/$E$18</f>
        <v>1.1252834170951059E-16</v>
      </c>
      <c r="I42" s="34">
        <f t="shared" ref="I42:I45" si="12">(4*PI()/3)*$F$27^3*($B$9-$B$8)*($B$6/$E$18)*(1/$D$27)</f>
        <v>6.416471582870572E-12</v>
      </c>
      <c r="J42" s="35">
        <f t="shared" ref="J42:J45" si="13">(4*PI()/3)*$F$27^3*($B$9-$B$8)*($B$6/$E$18)*(ABS(D42)/$D$27^2)</f>
        <v>5.2424411978724158E-11</v>
      </c>
      <c r="K42" s="34">
        <f t="shared" ref="K42:K45" si="14">SQRT(G42^2*$I$27^2+H42^2*$F$18^2+I42^2*E42^2+J42^2*$E$28^2)</f>
        <v>2.0310413136264288E-15</v>
      </c>
      <c r="L42" s="53">
        <f t="shared" ref="L42:L45" si="15">K42/F42</f>
        <v>0.45122883772461447</v>
      </c>
    </row>
    <row r="43" spans="1:12" x14ac:dyDescent="0.25">
      <c r="A43" s="38">
        <v>3</v>
      </c>
      <c r="B43" s="40">
        <v>35.630000000000003</v>
      </c>
      <c r="C43" s="34">
        <f>B43-B42</f>
        <v>0.8300000000000054</v>
      </c>
      <c r="D43" s="35">
        <f t="shared" si="7"/>
        <v>6.0240963855421291E-4</v>
      </c>
      <c r="E43" s="35">
        <f t="shared" si="8"/>
        <v>2.5660719305651701E-4</v>
      </c>
      <c r="F43" s="35">
        <f t="shared" si="9"/>
        <v>4.3561832561167422E-15</v>
      </c>
      <c r="G43" s="35">
        <f t="shared" si="10"/>
        <v>1.5886749684184125E-8</v>
      </c>
      <c r="H43" s="35">
        <f t="shared" si="11"/>
        <v>1.0890458140291856E-16</v>
      </c>
      <c r="I43" s="34">
        <f t="shared" si="12"/>
        <v>6.416471582870572E-12</v>
      </c>
      <c r="J43" s="35">
        <f t="shared" si="13"/>
        <v>5.0529553714432411E-11</v>
      </c>
      <c r="K43" s="34">
        <f t="shared" si="14"/>
        <v>1.9058584591691721E-15</v>
      </c>
      <c r="L43" s="53">
        <f t="shared" si="15"/>
        <v>0.43750649298168476</v>
      </c>
    </row>
    <row r="44" spans="1:12" x14ac:dyDescent="0.25">
      <c r="A44" s="38">
        <v>4</v>
      </c>
      <c r="B44" s="40">
        <v>36.42</v>
      </c>
      <c r="C44" s="34">
        <f>B44-B43</f>
        <v>0.78999999999999915</v>
      </c>
      <c r="D44" s="35">
        <f t="shared" si="7"/>
        <v>6.3291139240506395E-4</v>
      </c>
      <c r="E44" s="35">
        <f t="shared" si="8"/>
        <v>2.8325059332901339E-4</v>
      </c>
      <c r="F44" s="35">
        <f t="shared" si="9"/>
        <v>4.5518968929284412E-15</v>
      </c>
      <c r="G44" s="35">
        <f t="shared" si="10"/>
        <v>1.6600506056449438E-8</v>
      </c>
      <c r="H44" s="35">
        <f t="shared" si="11"/>
        <v>1.1379742232321104E-16</v>
      </c>
      <c r="I44" s="34">
        <f t="shared" si="12"/>
        <v>6.416471582870572E-12</v>
      </c>
      <c r="J44" s="35">
        <f t="shared" si="13"/>
        <v>5.3088012130353445E-11</v>
      </c>
      <c r="K44" s="34">
        <f t="shared" si="14"/>
        <v>2.0759757248777903E-15</v>
      </c>
      <c r="L44" s="53">
        <f t="shared" si="15"/>
        <v>0.45606826641941384</v>
      </c>
    </row>
    <row r="45" spans="1:12" x14ac:dyDescent="0.25">
      <c r="A45" s="38">
        <v>5</v>
      </c>
      <c r="B45" s="40">
        <v>37.65</v>
      </c>
      <c r="C45" s="34">
        <f>B45-B44</f>
        <v>1.2299999999999969</v>
      </c>
      <c r="D45" s="35">
        <f t="shared" si="7"/>
        <v>4.0650406504065144E-4</v>
      </c>
      <c r="E45" s="35">
        <f>SQRT(2)*D45*$B$13/C45</f>
        <v>1.1684625242688729E-4</v>
      </c>
      <c r="F45" s="35">
        <f t="shared" si="9"/>
        <v>3.0991607107410129E-15</v>
      </c>
      <c r="G45" s="35">
        <f t="shared" si="10"/>
        <v>1.1302460789147563E-8</v>
      </c>
      <c r="H45" s="35">
        <f t="shared" si="11"/>
        <v>7.7479017768525327E-17</v>
      </c>
      <c r="I45" s="34">
        <f t="shared" si="12"/>
        <v>6.416471582870572E-12</v>
      </c>
      <c r="J45" s="35">
        <f t="shared" si="13"/>
        <v>3.4097178522747383E-11</v>
      </c>
      <c r="K45" s="34">
        <f t="shared" si="14"/>
        <v>1.0129674678777962E-15</v>
      </c>
      <c r="L45" s="53">
        <f t="shared" si="15"/>
        <v>0.32685219077767491</v>
      </c>
    </row>
    <row r="46" spans="1:12" x14ac:dyDescent="0.25">
      <c r="L46" s="53"/>
    </row>
    <row r="49" spans="1:12" x14ac:dyDescent="0.25">
      <c r="A49" s="34" t="s">
        <v>7</v>
      </c>
    </row>
    <row r="50" spans="1:12" x14ac:dyDescent="0.25">
      <c r="B50" s="34" t="s">
        <v>23</v>
      </c>
      <c r="C50" s="34" t="s">
        <v>27</v>
      </c>
      <c r="D50" s="34" t="s">
        <v>24</v>
      </c>
      <c r="E50" s="34" t="s">
        <v>29</v>
      </c>
      <c r="F50" s="34" t="s">
        <v>37</v>
      </c>
      <c r="G50" s="34" t="s">
        <v>39</v>
      </c>
      <c r="H50" s="34" t="s">
        <v>40</v>
      </c>
      <c r="I50" s="34" t="s">
        <v>41</v>
      </c>
      <c r="J50" s="34" t="s">
        <v>42</v>
      </c>
      <c r="K50" s="34" t="s">
        <v>2</v>
      </c>
      <c r="L50" s="34" t="s">
        <v>43</v>
      </c>
    </row>
    <row r="51" spans="1:12" x14ac:dyDescent="0.25">
      <c r="A51" s="38">
        <v>6</v>
      </c>
      <c r="B51" s="41">
        <v>38.380000000000003</v>
      </c>
      <c r="C51" s="34">
        <f>B51-B45</f>
        <v>0.73000000000000398</v>
      </c>
      <c r="D51" s="35">
        <f>$B$12/C51</f>
        <v>6.8493150684931139E-4</v>
      </c>
      <c r="E51" s="35">
        <f>SQRT(2)*D51*$B$13/C51</f>
        <v>3.3172583091881211E-4</v>
      </c>
      <c r="F51" s="35">
        <f>-(4*PI()/3)*$F$27^3*($B$9-$B$8)*($B$6/$E$18)*(1-ABS(D51)/$D$27)</f>
        <v>3.9040046208250249E-15</v>
      </c>
      <c r="G51" s="35">
        <f>F51*3/$F$27</f>
        <v>1.4237680219227948E-8</v>
      </c>
      <c r="H51" s="35">
        <f>F51/$E$18</f>
        <v>9.7600115520625619E-17</v>
      </c>
      <c r="I51" s="34">
        <f>-(4*PI()/3)*$F$27^3*($B$9-$B$8)*($B$6/$E$18)*(-1/$D$27)</f>
        <v>6.416471582870572E-12</v>
      </c>
      <c r="J51" s="35">
        <f>-(4*PI()/3)*$F$27^3*($B$9-$B$8)*($B$6/$E$18)*(-ABS(D51)/$D$27^2)</f>
        <v>5.7451410387642399E-11</v>
      </c>
      <c r="K51" s="34">
        <f>SQRT(G51^2*$I$27^2+H51^2*$F$18^2+I51^2*E51^2+J51^2*$E$28^2)</f>
        <v>2.3006159239100603E-15</v>
      </c>
      <c r="L51" s="53">
        <f>K51/F51</f>
        <v>0.58929641415841261</v>
      </c>
    </row>
    <row r="52" spans="1:12" x14ac:dyDescent="0.25">
      <c r="A52" s="38">
        <v>7</v>
      </c>
      <c r="B52" s="41">
        <v>39.11</v>
      </c>
      <c r="C52" s="34">
        <f>B52-B51</f>
        <v>0.72999999999999687</v>
      </c>
      <c r="D52" s="35">
        <f t="shared" ref="D52:D55" si="16">$B$12/C52</f>
        <v>6.84931506849318E-4</v>
      </c>
      <c r="E52" s="35">
        <f t="shared" ref="E52:E54" si="17">SQRT(2)*D52*$B$13/C52</f>
        <v>3.3172583091881856E-4</v>
      </c>
      <c r="F52" s="35">
        <f t="shared" ref="F52:F55" si="18">-(4*PI()/3)*$F$27^3*($B$9-$B$8)*($B$6/$E$18)*(1-ABS(D52)/$D$27)</f>
        <v>3.9040046208250675E-15</v>
      </c>
      <c r="G52" s="35">
        <f t="shared" ref="G52:G55" si="19">F52*3/$F$27</f>
        <v>1.4237680219228103E-8</v>
      </c>
      <c r="H52" s="35">
        <f t="shared" ref="H52:H55" si="20">F52/$E$18</f>
        <v>9.7600115520626691E-17</v>
      </c>
      <c r="I52" s="34">
        <f t="shared" ref="I52:I55" si="21">-(4*PI()/3)*$F$27^3*($B$9-$B$8)*($B$6/$E$18)*(-1/$D$27)</f>
        <v>6.416471582870572E-12</v>
      </c>
      <c r="J52" s="35">
        <f t="shared" ref="J52:J55" si="22">-(4*PI()/3)*$F$27^3*($B$9-$B$8)*($B$6/$E$18)*(-ABS(D52)/$D$27^2)</f>
        <v>5.7451410387642961E-11</v>
      </c>
      <c r="K52" s="34">
        <f t="shared" ref="K52:K55" si="23">SQRT(G52^2*$I$27^2+H52^2*$F$18^2+I52^2*E52^2+J52^2*$E$28^2)</f>
        <v>2.3006159239101025E-15</v>
      </c>
      <c r="L52" s="53">
        <f t="shared" ref="L52:L55" si="24">K52/F52</f>
        <v>0.58929641415841694</v>
      </c>
    </row>
    <row r="53" spans="1:12" x14ac:dyDescent="0.25">
      <c r="A53" s="38">
        <v>8</v>
      </c>
      <c r="B53" s="41">
        <v>39.82</v>
      </c>
      <c r="C53" s="34">
        <f>B53-B52</f>
        <v>0.71000000000000085</v>
      </c>
      <c r="D53" s="35">
        <f t="shared" si="16"/>
        <v>7.0422535211267523E-4</v>
      </c>
      <c r="E53" s="35">
        <f t="shared" si="17"/>
        <v>3.5067783236785647E-4</v>
      </c>
      <c r="F53" s="35">
        <f t="shared" si="18"/>
        <v>4.0278030306817012E-15</v>
      </c>
      <c r="G53" s="35">
        <f t="shared" si="19"/>
        <v>1.4689165896725887E-8</v>
      </c>
      <c r="H53" s="35">
        <f t="shared" si="20"/>
        <v>1.0069507576704253E-16</v>
      </c>
      <c r="I53" s="34">
        <f t="shared" si="21"/>
        <v>6.416471582870572E-12</v>
      </c>
      <c r="J53" s="35">
        <f t="shared" si="22"/>
        <v>5.9069759976026948E-11</v>
      </c>
      <c r="K53" s="34">
        <f t="shared" si="23"/>
        <v>2.4236289643060774E-15</v>
      </c>
      <c r="L53" s="53">
        <f t="shared" si="24"/>
        <v>0.60172479782256905</v>
      </c>
    </row>
    <row r="54" spans="1:12" x14ac:dyDescent="0.25">
      <c r="A54" s="38">
        <v>9</v>
      </c>
      <c r="B54" s="41">
        <v>40.53</v>
      </c>
      <c r="C54" s="34">
        <f>B54-B53</f>
        <v>0.71000000000000085</v>
      </c>
      <c r="D54" s="35">
        <f t="shared" si="16"/>
        <v>7.0422535211267523E-4</v>
      </c>
      <c r="E54" s="35">
        <f t="shared" si="17"/>
        <v>3.5067783236785647E-4</v>
      </c>
      <c r="F54" s="35">
        <f t="shared" si="18"/>
        <v>4.0278030306817012E-15</v>
      </c>
      <c r="G54" s="35">
        <f t="shared" si="19"/>
        <v>1.4689165896725887E-8</v>
      </c>
      <c r="H54" s="35">
        <f t="shared" si="20"/>
        <v>1.0069507576704253E-16</v>
      </c>
      <c r="I54" s="34">
        <f t="shared" si="21"/>
        <v>6.416471582870572E-12</v>
      </c>
      <c r="J54" s="35">
        <f t="shared" si="22"/>
        <v>5.9069759976026948E-11</v>
      </c>
      <c r="K54" s="34">
        <f t="shared" si="23"/>
        <v>2.4236289643060774E-15</v>
      </c>
      <c r="L54" s="53">
        <f t="shared" si="24"/>
        <v>0.60172479782256905</v>
      </c>
    </row>
    <row r="55" spans="1:12" x14ac:dyDescent="0.25">
      <c r="A55" s="38">
        <v>10</v>
      </c>
      <c r="B55" s="41">
        <v>41.26</v>
      </c>
      <c r="C55" s="34">
        <f>B55-B54</f>
        <v>0.72999999999999687</v>
      </c>
      <c r="D55" s="35">
        <f t="shared" si="16"/>
        <v>6.84931506849318E-4</v>
      </c>
      <c r="E55" s="35">
        <f>SQRT(2)*D55*$B$13/C55</f>
        <v>3.3172583091881856E-4</v>
      </c>
      <c r="F55" s="35">
        <f t="shared" si="18"/>
        <v>3.9040046208250675E-15</v>
      </c>
      <c r="G55" s="35">
        <f t="shared" si="19"/>
        <v>1.4237680219228103E-8</v>
      </c>
      <c r="H55" s="35">
        <f t="shared" si="20"/>
        <v>9.7600115520626691E-17</v>
      </c>
      <c r="I55" s="34">
        <f t="shared" si="21"/>
        <v>6.416471582870572E-12</v>
      </c>
      <c r="J55" s="35">
        <f t="shared" si="22"/>
        <v>5.7451410387642961E-11</v>
      </c>
      <c r="K55" s="34">
        <f t="shared" si="23"/>
        <v>2.3006159239101025E-15</v>
      </c>
      <c r="L55" s="53">
        <f t="shared" si="24"/>
        <v>0.58929641415841694</v>
      </c>
    </row>
    <row r="56" spans="1:12" x14ac:dyDescent="0.25">
      <c r="L56" s="53"/>
    </row>
    <row r="59" spans="1:12" x14ac:dyDescent="0.25">
      <c r="B59" s="34" t="s">
        <v>38</v>
      </c>
    </row>
    <row r="60" spans="1:12" x14ac:dyDescent="0.25">
      <c r="A60" s="35"/>
      <c r="B60" s="34" t="s">
        <v>44</v>
      </c>
      <c r="C60" s="34" t="s">
        <v>45</v>
      </c>
    </row>
    <row r="61" spans="1:12" x14ac:dyDescent="0.25">
      <c r="A61" s="34">
        <v>1</v>
      </c>
      <c r="B61" s="35">
        <f>F41</f>
        <v>4.0163727658283881E-15</v>
      </c>
      <c r="C61" s="34">
        <f>K41</f>
        <v>1.6304990197524633E-15</v>
      </c>
    </row>
    <row r="62" spans="1:12" x14ac:dyDescent="0.25">
      <c r="A62" s="34">
        <v>2</v>
      </c>
      <c r="B62" s="35">
        <f t="shared" ref="B62:B65" si="25">F42</f>
        <v>4.5011336683804236E-15</v>
      </c>
      <c r="C62" s="34">
        <f t="shared" ref="C62:C65" si="26">K42</f>
        <v>2.0310413136264288E-15</v>
      </c>
    </row>
    <row r="63" spans="1:12" x14ac:dyDescent="0.25">
      <c r="A63" s="34">
        <v>3</v>
      </c>
      <c r="B63" s="35">
        <f t="shared" si="25"/>
        <v>4.3561832561167422E-15</v>
      </c>
      <c r="C63" s="34">
        <f t="shared" si="26"/>
        <v>1.9058584591691721E-15</v>
      </c>
    </row>
    <row r="64" spans="1:12" x14ac:dyDescent="0.25">
      <c r="A64" s="34">
        <v>4</v>
      </c>
      <c r="B64" s="35">
        <f t="shared" si="25"/>
        <v>4.5518968929284412E-15</v>
      </c>
      <c r="C64" s="34">
        <f t="shared" si="26"/>
        <v>2.0759757248777903E-15</v>
      </c>
    </row>
    <row r="65" spans="1:3" x14ac:dyDescent="0.25">
      <c r="A65" s="34">
        <v>5</v>
      </c>
      <c r="B65" s="35">
        <f t="shared" si="25"/>
        <v>3.0991607107410129E-15</v>
      </c>
      <c r="C65" s="34">
        <f t="shared" si="26"/>
        <v>1.0129674678777962E-15</v>
      </c>
    </row>
    <row r="66" spans="1:3" x14ac:dyDescent="0.25">
      <c r="A66" s="34">
        <v>6</v>
      </c>
      <c r="B66" s="35">
        <f>F51</f>
        <v>3.9040046208250249E-15</v>
      </c>
      <c r="C66" s="34">
        <f>K51</f>
        <v>2.3006159239100603E-15</v>
      </c>
    </row>
    <row r="67" spans="1:3" x14ac:dyDescent="0.25">
      <c r="A67" s="34">
        <v>7</v>
      </c>
      <c r="B67" s="35">
        <f t="shared" ref="B67:B70" si="27">F52</f>
        <v>3.9040046208250675E-15</v>
      </c>
      <c r="C67" s="34">
        <f t="shared" ref="C67:C70" si="28">K52</f>
        <v>2.3006159239101025E-15</v>
      </c>
    </row>
    <row r="68" spans="1:3" x14ac:dyDescent="0.25">
      <c r="A68" s="34">
        <v>8</v>
      </c>
      <c r="B68" s="35">
        <f t="shared" si="27"/>
        <v>4.0278030306817012E-15</v>
      </c>
      <c r="C68" s="34">
        <f t="shared" si="28"/>
        <v>2.4236289643060774E-15</v>
      </c>
    </row>
    <row r="69" spans="1:3" x14ac:dyDescent="0.25">
      <c r="A69" s="34">
        <v>9</v>
      </c>
      <c r="B69" s="35">
        <f t="shared" si="27"/>
        <v>4.0278030306817012E-15</v>
      </c>
      <c r="C69" s="34">
        <f t="shared" si="28"/>
        <v>2.4236289643060774E-15</v>
      </c>
    </row>
    <row r="70" spans="1:3" x14ac:dyDescent="0.25">
      <c r="A70" s="34">
        <v>10</v>
      </c>
      <c r="B70" s="35">
        <f t="shared" si="27"/>
        <v>3.9040046208250675E-15</v>
      </c>
      <c r="C70" s="34">
        <f t="shared" si="28"/>
        <v>2.3006159239101025E-15</v>
      </c>
    </row>
  </sheetData>
  <mergeCells count="2">
    <mergeCell ref="A1:C2"/>
    <mergeCell ref="A14:C15"/>
  </mergeCells>
  <conditionalFormatting sqref="C32:G36">
    <cfRule type="cellIs" dxfId="56" priority="5" operator="notBetween">
      <formula>-1.96</formula>
      <formula>1.96</formula>
    </cfRule>
  </conditionalFormatting>
  <conditionalFormatting sqref="L41:L46">
    <cfRule type="cellIs" priority="4" operator="greaterThan">
      <formula>0.04</formula>
    </cfRule>
  </conditionalFormatting>
  <conditionalFormatting sqref="L51:L56">
    <cfRule type="cellIs" priority="2" operator="greaterThan">
      <formula>0.04</formula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3" operator="greaterThan" id="{8FC14681-6F88-40DF-8822-71B5359DDF11}">
            <xm:f>Dati!$B$14</xm:f>
            <x14:dxf>
              <fill>
                <patternFill>
                  <bgColor theme="5"/>
                </patternFill>
              </fill>
            </x14:dxf>
          </x14:cfRule>
          <xm:sqref>L41:L46</xm:sqref>
        </x14:conditionalFormatting>
        <x14:conditionalFormatting xmlns:xm="http://schemas.microsoft.com/office/excel/2006/main">
          <x14:cfRule type="cellIs" priority="1" operator="greaterThan" id="{3C2B257C-3E8D-4308-9EDC-A3F979ABB1AB}">
            <xm:f>Dati!$B$14</xm:f>
            <x14:dxf>
              <fill>
                <patternFill>
                  <bgColor theme="5"/>
                </patternFill>
              </fill>
            </x14:dxf>
          </x14:cfRule>
          <xm:sqref>L51:L56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topLeftCell="A4" workbookViewId="0">
      <selection activeCell="C24" sqref="C24"/>
    </sheetView>
  </sheetViews>
  <sheetFormatPr defaultRowHeight="15" x14ac:dyDescent="0.25"/>
  <cols>
    <col min="1" max="1" width="13.140625" style="41" customWidth="1"/>
    <col min="2" max="2" width="9.140625" style="41"/>
    <col min="3" max="5" width="12" style="41" customWidth="1"/>
    <col min="6" max="7" width="12.140625" style="41" customWidth="1"/>
    <col min="8" max="9" width="12" style="41" customWidth="1"/>
    <col min="10" max="10" width="9.140625" style="41"/>
    <col min="11" max="11" width="12" style="41" customWidth="1"/>
    <col min="12" max="16384" width="9.140625" style="41"/>
  </cols>
  <sheetData>
    <row r="1" spans="1:5" x14ac:dyDescent="0.25">
      <c r="A1" s="187" t="str">
        <f>[1]Dati!A1</f>
        <v>Costanti varie</v>
      </c>
      <c r="B1" s="187"/>
      <c r="C1" s="187"/>
    </row>
    <row r="2" spans="1:5" x14ac:dyDescent="0.25">
      <c r="A2" s="187"/>
      <c r="B2" s="187"/>
      <c r="C2" s="187"/>
    </row>
    <row r="4" spans="1:5" x14ac:dyDescent="0.25">
      <c r="B4" s="41" t="s">
        <v>1</v>
      </c>
      <c r="C4" s="41" t="s">
        <v>2</v>
      </c>
    </row>
    <row r="5" spans="1:5" x14ac:dyDescent="0.25">
      <c r="A5" s="41" t="str">
        <f>[1]Dati!A5</f>
        <v>d</v>
      </c>
      <c r="B5" s="42">
        <v>7.6</v>
      </c>
      <c r="C5" s="41">
        <f>[1]Dati!C5</f>
        <v>1.0000000000000001E-5</v>
      </c>
    </row>
    <row r="6" spans="1:5" x14ac:dyDescent="0.25">
      <c r="A6" s="41" t="str">
        <f>[1]Dati!A6</f>
        <v>g</v>
      </c>
      <c r="B6" s="41">
        <f>[1]Dati!B6</f>
        <v>9.8059999999999992</v>
      </c>
      <c r="C6" s="41">
        <f>[1]Dati!C6</f>
        <v>0</v>
      </c>
    </row>
    <row r="7" spans="1:5" x14ac:dyDescent="0.25">
      <c r="A7" s="41" t="str">
        <f>[1]Dati!A7</f>
        <v>pressione</v>
      </c>
      <c r="B7" s="41">
        <f>[1]Dati!B7</f>
        <v>101325</v>
      </c>
      <c r="C7" s="41">
        <f>[1]Dati!C7</f>
        <v>0</v>
      </c>
    </row>
    <row r="8" spans="1:5" x14ac:dyDescent="0.25">
      <c r="A8" s="41" t="str">
        <f>[1]Dati!A8</f>
        <v>densità aria</v>
      </c>
      <c r="B8" s="41">
        <v>0</v>
      </c>
      <c r="C8" s="41">
        <f>[1]Dati!C8</f>
        <v>0</v>
      </c>
    </row>
    <row r="9" spans="1:5" x14ac:dyDescent="0.25">
      <c r="A9" s="41" t="str">
        <f>[1]Dati!A9</f>
        <v>densità olio</v>
      </c>
      <c r="B9" s="41">
        <v>858.7</v>
      </c>
      <c r="C9" s="41">
        <f>[1]Dati!C9</f>
        <v>0</v>
      </c>
    </row>
    <row r="10" spans="1:5" x14ac:dyDescent="0.25">
      <c r="A10" s="41" t="str">
        <f>[1]Dati!A10</f>
        <v>cst corr vis</v>
      </c>
      <c r="B10" s="41">
        <f>[1]Dati!B10</f>
        <v>8.2000000000000007E-3</v>
      </c>
      <c r="C10" s="41">
        <f>[1]Dati!C10</f>
        <v>0</v>
      </c>
    </row>
    <row r="11" spans="1:5" x14ac:dyDescent="0.25">
      <c r="A11" s="41" t="str">
        <f>[1]Dati!A11</f>
        <v>e</v>
      </c>
      <c r="B11" s="41">
        <f>[1]Dati!B11</f>
        <v>1.6021766200000001E-19</v>
      </c>
      <c r="C11" s="41">
        <f>[1]Dati!C11</f>
        <v>0</v>
      </c>
    </row>
    <row r="12" spans="1:5" x14ac:dyDescent="0.25">
      <c r="A12" s="41" t="str">
        <f>[1]Dati!A12</f>
        <v>deltax</v>
      </c>
      <c r="B12" s="41">
        <f>[1]Dati!B12</f>
        <v>5.0000000000000001E-4</v>
      </c>
      <c r="C12" s="41">
        <f>[1]Dati!C12</f>
        <v>0</v>
      </c>
    </row>
    <row r="13" spans="1:5" x14ac:dyDescent="0.25">
      <c r="A13" s="41" t="s">
        <v>30</v>
      </c>
      <c r="B13" s="41">
        <f>Dati!B13</f>
        <v>0.25</v>
      </c>
    </row>
    <row r="14" spans="1:5" x14ac:dyDescent="0.25">
      <c r="A14" s="187" t="s">
        <v>17</v>
      </c>
      <c r="B14" s="187"/>
      <c r="C14" s="187"/>
      <c r="D14" s="44"/>
    </row>
    <row r="15" spans="1:5" x14ac:dyDescent="0.25">
      <c r="A15" s="187"/>
      <c r="B15" s="187"/>
      <c r="C15" s="187"/>
      <c r="D15" s="44"/>
    </row>
    <row r="16" spans="1:5" x14ac:dyDescent="0.25">
      <c r="A16" s="41" t="s">
        <v>18</v>
      </c>
      <c r="B16" s="41">
        <v>304</v>
      </c>
      <c r="C16" s="41">
        <f>B16/100</f>
        <v>3.04</v>
      </c>
      <c r="D16" s="41" t="s">
        <v>19</v>
      </c>
      <c r="E16" s="41">
        <f>(1.8+(B18-15)*0.004765)*0.00001</f>
        <v>1.8238250000000001E-5</v>
      </c>
    </row>
    <row r="17" spans="1:10" x14ac:dyDescent="0.25">
      <c r="A17" s="41" t="s">
        <v>20</v>
      </c>
      <c r="E17" s="43"/>
    </row>
    <row r="18" spans="1:10" x14ac:dyDescent="0.25">
      <c r="A18" s="41" t="s">
        <v>21</v>
      </c>
      <c r="B18" s="41">
        <v>20</v>
      </c>
      <c r="C18" s="41">
        <v>0.5</v>
      </c>
      <c r="D18" s="41" t="s">
        <v>22</v>
      </c>
      <c r="E18" s="42">
        <f>B16/B5</f>
        <v>40</v>
      </c>
      <c r="F18" s="41">
        <f>SQRT((C16/B5)^2+(B16*C5/B5^2)^2)</f>
        <v>0.40000000346260389</v>
      </c>
      <c r="G18" s="42"/>
    </row>
    <row r="21" spans="1:10" x14ac:dyDescent="0.25">
      <c r="B21" s="41" t="s">
        <v>23</v>
      </c>
      <c r="C21" s="41" t="s">
        <v>27</v>
      </c>
      <c r="D21" s="41" t="s">
        <v>24</v>
      </c>
      <c r="E21" s="41" t="s">
        <v>29</v>
      </c>
      <c r="F21" s="41" t="s">
        <v>25</v>
      </c>
      <c r="G21" s="41" t="s">
        <v>26</v>
      </c>
      <c r="H21" s="41" t="s">
        <v>28</v>
      </c>
      <c r="I21" s="41" t="s">
        <v>31</v>
      </c>
      <c r="J21" s="41" t="s">
        <v>32</v>
      </c>
    </row>
    <row r="22" spans="1:10" x14ac:dyDescent="0.25">
      <c r="A22" s="41">
        <v>1</v>
      </c>
      <c r="B22" s="47">
        <v>5.97</v>
      </c>
      <c r="C22" s="41">
        <f>B22</f>
        <v>5.97</v>
      </c>
      <c r="D22" s="42">
        <f>B12/B22</f>
        <v>8.3752093802345063E-5</v>
      </c>
      <c r="E22" s="42">
        <f>SQRT(2)*D22*$B$13/C22</f>
        <v>4.9599391512738711E-6</v>
      </c>
      <c r="F22" s="5">
        <f>(($B$10/(2*$B$7))^2+9*$E$16*D22/(2*$B$6*($B$9-$B$8)))^(1/2)-$B$10/(2*$B$7)</f>
        <v>8.6394354446471402E-7</v>
      </c>
      <c r="G22" s="41">
        <f>(($B$10/(2*$B$7))^2+9*$E$16*D22/(2*$B$6*($B$9-$B$8)))^(-1/2)*(9*$E$16)/(4*$B$6*$B$9)</f>
        <v>5.3885041839440437E-3</v>
      </c>
      <c r="H22" s="41">
        <f>(($B$10/(2*$B$7))^2+9*$E$16*D22/(2*$B$6*($B$9-$B$8)))^(-1/2)*((9*D22)/(4*$B$6*$B$9))*0.00000004765</f>
        <v>1.1790809918665824E-9</v>
      </c>
      <c r="I22" s="41">
        <f>SQRT(G22^2*E22^2+H22^2*$C$18^2+$F$28^2)</f>
        <v>8.3484955755523192E-8</v>
      </c>
      <c r="J22" s="42">
        <f>I22/F22</f>
        <v>9.6632420359421947E-2</v>
      </c>
    </row>
    <row r="23" spans="1:10" x14ac:dyDescent="0.25">
      <c r="A23" s="41">
        <v>2</v>
      </c>
      <c r="B23" s="47">
        <v>14.3</v>
      </c>
      <c r="C23" s="41">
        <f>B23-B22</f>
        <v>8.3300000000000018</v>
      </c>
      <c r="D23" s="42">
        <f>$B$12/(B23-B22)</f>
        <v>6.0024009603841526E-5</v>
      </c>
      <c r="E23" s="42">
        <f t="shared" ref="E23:E25" si="0">SQRT(2)*D23*$B$13/C23</f>
        <v>2.5476221023339011E-6</v>
      </c>
      <c r="F23" s="5">
        <f>(($B$10/(2*$B$7))^2+9*E16*D23/(2*$B$6*($B$9-$B$8)))^(1/2)-$B$10/(2*$B$7)</f>
        <v>7.2548634448536544E-7</v>
      </c>
      <c r="G23" s="41">
        <f t="shared" ref="G23:G27" si="1">(($B$10/(2*$B$7))^2+9*$E$16*D23/(2*$B$6*($B$9-$B$8)))^(-1/2)*(9*$E$16)/(4*$B$6*$B$9)</f>
        <v>6.3625586367324887E-3</v>
      </c>
      <c r="H23" s="41">
        <f t="shared" ref="H23:H27" si="2">(($B$10/(2*$B$7))^2+9*$E$16*D23/(2*$B$6*($B$9-$B$8)))^(-1/2)*((9*D23)/(4*$B$6*$B$9))*0.00000004765</f>
        <v>9.9778401305655057E-10</v>
      </c>
      <c r="I23" s="41">
        <f t="shared" ref="I23:I27" si="3">SQRT(G23^2*E23^2+H23^2*$C$18^2+$F$28^2)</f>
        <v>8.073456314227548E-8</v>
      </c>
      <c r="J23" s="42">
        <f t="shared" ref="J23:J27" si="4">I23/F23</f>
        <v>0.11128336702125764</v>
      </c>
    </row>
    <row r="24" spans="1:10" x14ac:dyDescent="0.25">
      <c r="A24" s="41">
        <v>3</v>
      </c>
      <c r="B24" s="47">
        <v>20.73</v>
      </c>
      <c r="C24" s="41">
        <f t="shared" ref="C24:C26" si="5">B24-B23</f>
        <v>6.43</v>
      </c>
      <c r="D24" s="42">
        <f>$B$12/(B24-B23)</f>
        <v>7.7760497667185078E-5</v>
      </c>
      <c r="E24" s="42">
        <f t="shared" si="0"/>
        <v>4.2756590364624635E-6</v>
      </c>
      <c r="F24" s="5">
        <f>(($B$10/(2*$B$7))^2+9*E16*D24/(2*$B$6*($B$9-$B$8)))^(1/2)-$B$10/(2*$B$7)</f>
        <v>8.310599934254888E-7</v>
      </c>
      <c r="G24" s="41">
        <f t="shared" si="1"/>
        <v>5.5918183593327954E-3</v>
      </c>
      <c r="H24" s="41">
        <f t="shared" si="2"/>
        <v>1.1360353029960882E-9</v>
      </c>
      <c r="I24" s="41">
        <f t="shared" si="3"/>
        <v>8.2625814983049976E-8</v>
      </c>
      <c r="J24" s="42">
        <f t="shared" si="4"/>
        <v>9.9422202532551629E-2</v>
      </c>
    </row>
    <row r="25" spans="1:10" x14ac:dyDescent="0.25">
      <c r="A25" s="41">
        <v>4</v>
      </c>
      <c r="B25" s="47">
        <v>25.99</v>
      </c>
      <c r="C25" s="41">
        <f t="shared" si="5"/>
        <v>5.259999999999998</v>
      </c>
      <c r="D25" s="42">
        <f>$B$12/(B25-B24)</f>
        <v>9.5057034220532354E-5</v>
      </c>
      <c r="E25" s="42">
        <f t="shared" si="0"/>
        <v>6.3893035643365175E-6</v>
      </c>
      <c r="F25" s="5">
        <f>(($B$10/(2*$B$7))^2+9*E16*D25/(2*$B$6*($B$9-$B$8)))^(1/2)-$B$10/(2*$B$7)</f>
        <v>9.2293627296674439E-7</v>
      </c>
      <c r="G25" s="41">
        <f t="shared" si="1"/>
        <v>5.0585451612297268E-3</v>
      </c>
      <c r="H25" s="41">
        <f t="shared" si="2"/>
        <v>1.2562892173694234E-9</v>
      </c>
      <c r="I25" s="41">
        <f t="shared" si="3"/>
        <v>8.5440568840475733E-8</v>
      </c>
      <c r="J25" s="42">
        <f t="shared" si="4"/>
        <v>9.2574721942426427E-2</v>
      </c>
    </row>
    <row r="26" spans="1:10" x14ac:dyDescent="0.25">
      <c r="A26" s="41">
        <v>5</v>
      </c>
      <c r="B26" s="47">
        <v>31.39</v>
      </c>
      <c r="C26" s="41">
        <f t="shared" si="5"/>
        <v>5.4000000000000021</v>
      </c>
      <c r="D26" s="42">
        <f>$B$12/(B26-B25)</f>
        <v>9.2592592592592561E-5</v>
      </c>
      <c r="E26" s="42">
        <f>SQRT(2)*D26*$B$13/C26</f>
        <v>6.0623009360986543E-6</v>
      </c>
      <c r="F26" s="5">
        <f>(($B$10/(2*$B$7))^2+9*E16*D26/(2*$B$6*($B$9-$B$8)))^(1/2)-$B$10/(2*$B$7)</f>
        <v>9.1038806398949172E-7</v>
      </c>
      <c r="G26" s="41">
        <f t="shared" si="1"/>
        <v>5.1253018039912101E-3</v>
      </c>
      <c r="H26" s="41">
        <f t="shared" si="2"/>
        <v>1.2398679360795007E-9</v>
      </c>
      <c r="I26" s="41">
        <f t="shared" si="3"/>
        <v>8.4975733251836795E-8</v>
      </c>
      <c r="J26" s="42">
        <f t="shared" si="4"/>
        <v>9.3340122320428001E-2</v>
      </c>
    </row>
    <row r="27" spans="1:10" x14ac:dyDescent="0.25">
      <c r="A27" s="7" t="s">
        <v>34</v>
      </c>
      <c r="B27" s="7"/>
      <c r="C27" s="7">
        <f>AVERAGE(C22:C26)</f>
        <v>6.2780000000000005</v>
      </c>
      <c r="D27" s="7">
        <f>AVERAGE(D22:D26)</f>
        <v>8.1837245577299323E-5</v>
      </c>
      <c r="E27" s="8">
        <f>SQRT(2)*D27*$B$13/C27</f>
        <v>4.6087664304983394E-6</v>
      </c>
      <c r="F27" s="9">
        <f>AVERAGE(F22:F26)</f>
        <v>8.5076284386636093E-7</v>
      </c>
      <c r="G27" s="7">
        <f t="shared" si="1"/>
        <v>5.4510528014469787E-3</v>
      </c>
      <c r="H27" s="7">
        <f t="shared" si="2"/>
        <v>1.165496927799543E-9</v>
      </c>
      <c r="I27" s="7">
        <f t="shared" si="3"/>
        <v>8.2985314349778443E-8</v>
      </c>
      <c r="J27" s="8">
        <f t="shared" si="4"/>
        <v>9.7542240999436383E-2</v>
      </c>
    </row>
    <row r="28" spans="1:10" x14ac:dyDescent="0.25">
      <c r="A28" s="41" t="s">
        <v>35</v>
      </c>
      <c r="C28" s="6">
        <f>_xlfn.STDEV.S(C22:C26)</f>
        <v>1.2385354254118062</v>
      </c>
      <c r="D28" s="42">
        <f>_xlfn.STDEV.S(D22:D26)</f>
        <v>1.4022696620768642E-5</v>
      </c>
      <c r="E28" s="8">
        <f>SQRT(2)*D28*$B$13/C28</f>
        <v>4.0029310698845482E-6</v>
      </c>
      <c r="F28" s="42">
        <f>_xlfn.STDEV.S(F22:F26)</f>
        <v>7.9089040365519744E-8</v>
      </c>
    </row>
    <row r="30" spans="1:10" x14ac:dyDescent="0.25">
      <c r="A30" s="41" t="s">
        <v>31</v>
      </c>
      <c r="C30" s="41">
        <f t="array" ref="C30:G31">TRANSPOSE(A32:B36)</f>
        <v>8.3484955755523192E-8</v>
      </c>
      <c r="D30" s="41">
        <v>8.073456314227548E-8</v>
      </c>
      <c r="E30" s="41">
        <v>8.2625814983049976E-8</v>
      </c>
      <c r="F30" s="41">
        <v>8.5440568840475733E-8</v>
      </c>
      <c r="G30" s="41">
        <v>8.4975733251836795E-8</v>
      </c>
    </row>
    <row r="31" spans="1:10" x14ac:dyDescent="0.25">
      <c r="B31" s="41" t="s">
        <v>25</v>
      </c>
      <c r="C31" s="41">
        <v>8.6394354446471402E-7</v>
      </c>
      <c r="D31" s="41">
        <v>7.2548634448536544E-7</v>
      </c>
      <c r="E31" s="41">
        <v>8.310599934254888E-7</v>
      </c>
      <c r="F31" s="41">
        <v>9.2293627296674439E-7</v>
      </c>
      <c r="G31" s="41">
        <v>9.1038806398949172E-7</v>
      </c>
    </row>
    <row r="32" spans="1:10" x14ac:dyDescent="0.25">
      <c r="A32" s="41">
        <f>I22</f>
        <v>8.3484955755523192E-8</v>
      </c>
      <c r="B32" s="5">
        <f>F22</f>
        <v>8.6394354446471402E-7</v>
      </c>
      <c r="C32" s="41">
        <f t="shared" ref="C32:G36" si="6">(C$31-$B32)/SQRT(C$30^2+$A32^2)</f>
        <v>0</v>
      </c>
      <c r="D32" s="41">
        <f t="shared" si="6"/>
        <v>-1.1921883256599572</v>
      </c>
      <c r="E32" s="41">
        <f t="shared" si="6"/>
        <v>-0.27995621027585182</v>
      </c>
      <c r="F32" s="41">
        <f t="shared" si="6"/>
        <v>0.49384322994082114</v>
      </c>
      <c r="G32" s="41">
        <f t="shared" si="6"/>
        <v>0.38988263721328331</v>
      </c>
    </row>
    <row r="33" spans="1:12" x14ac:dyDescent="0.25">
      <c r="A33" s="41">
        <f>I23</f>
        <v>8.073456314227548E-8</v>
      </c>
      <c r="B33" s="5">
        <f>F23</f>
        <v>7.2548634448536544E-7</v>
      </c>
      <c r="C33" s="41">
        <f t="shared" si="6"/>
        <v>1.1921883256599572</v>
      </c>
      <c r="D33" s="41">
        <f t="shared" si="6"/>
        <v>0</v>
      </c>
      <c r="E33" s="41">
        <f t="shared" si="6"/>
        <v>0.91389162548394742</v>
      </c>
      <c r="F33" s="41">
        <f t="shared" si="6"/>
        <v>1.6797005504805402</v>
      </c>
      <c r="G33" s="41">
        <f t="shared" si="6"/>
        <v>1.5774814413636078</v>
      </c>
    </row>
    <row r="34" spans="1:12" x14ac:dyDescent="0.25">
      <c r="A34" s="41">
        <f>I24</f>
        <v>8.2625814983049976E-8</v>
      </c>
      <c r="B34" s="5">
        <f>F24</f>
        <v>8.310599934254888E-7</v>
      </c>
      <c r="C34" s="41">
        <f t="shared" si="6"/>
        <v>0.27995621027585182</v>
      </c>
      <c r="D34" s="41">
        <f t="shared" si="6"/>
        <v>-0.91389162548394742</v>
      </c>
      <c r="E34" s="41">
        <f t="shared" si="6"/>
        <v>0</v>
      </c>
      <c r="F34" s="41">
        <f t="shared" si="6"/>
        <v>0.772994926066088</v>
      </c>
      <c r="G34" s="41">
        <f t="shared" si="6"/>
        <v>0.66930054629175106</v>
      </c>
    </row>
    <row r="35" spans="1:12" x14ac:dyDescent="0.25">
      <c r="A35" s="41">
        <f>I25</f>
        <v>8.5440568840475733E-8</v>
      </c>
      <c r="B35" s="5">
        <f>F25</f>
        <v>9.2293627296674439E-7</v>
      </c>
      <c r="C35" s="41">
        <f t="shared" si="6"/>
        <v>-0.49384322994082114</v>
      </c>
      <c r="D35" s="41">
        <f t="shared" si="6"/>
        <v>-1.6797005504805402</v>
      </c>
      <c r="E35" s="41">
        <f t="shared" si="6"/>
        <v>-0.772994926066088</v>
      </c>
      <c r="F35" s="41">
        <f t="shared" si="6"/>
        <v>0</v>
      </c>
      <c r="G35" s="41">
        <f t="shared" si="6"/>
        <v>-0.10413194680629387</v>
      </c>
    </row>
    <row r="36" spans="1:12" x14ac:dyDescent="0.25">
      <c r="A36" s="41">
        <f>I26</f>
        <v>8.4975733251836795E-8</v>
      </c>
      <c r="B36" s="5">
        <f>F26</f>
        <v>9.1038806398949172E-7</v>
      </c>
      <c r="C36" s="41">
        <f t="shared" si="6"/>
        <v>-0.38988263721328331</v>
      </c>
      <c r="D36" s="41">
        <f t="shared" si="6"/>
        <v>-1.5774814413636078</v>
      </c>
      <c r="E36" s="41">
        <f t="shared" si="6"/>
        <v>-0.66930054629175106</v>
      </c>
      <c r="F36" s="41">
        <f t="shared" si="6"/>
        <v>0.10413194680629387</v>
      </c>
      <c r="G36" s="41">
        <f t="shared" si="6"/>
        <v>0</v>
      </c>
    </row>
    <row r="39" spans="1:12" x14ac:dyDescent="0.25">
      <c r="A39" s="41" t="s">
        <v>7</v>
      </c>
    </row>
    <row r="40" spans="1:12" x14ac:dyDescent="0.25">
      <c r="B40" s="41" t="s">
        <v>36</v>
      </c>
      <c r="C40" s="41" t="s">
        <v>27</v>
      </c>
      <c r="D40" s="41" t="s">
        <v>24</v>
      </c>
      <c r="E40" s="41" t="s">
        <v>29</v>
      </c>
      <c r="F40" s="41" t="s">
        <v>37</v>
      </c>
      <c r="G40" s="41" t="s">
        <v>39</v>
      </c>
      <c r="H40" s="41" t="s">
        <v>40</v>
      </c>
      <c r="I40" s="41" t="s">
        <v>41</v>
      </c>
      <c r="J40" s="41" t="s">
        <v>42</v>
      </c>
      <c r="K40" s="41" t="s">
        <v>2</v>
      </c>
      <c r="L40" s="41" t="s">
        <v>43</v>
      </c>
    </row>
    <row r="41" spans="1:12" x14ac:dyDescent="0.25">
      <c r="A41" s="46">
        <v>1</v>
      </c>
      <c r="B41" s="48">
        <v>32.01</v>
      </c>
      <c r="C41" s="41">
        <f>B41-B26</f>
        <v>0.61999999999999744</v>
      </c>
      <c r="D41" s="42">
        <f>$B$12/C41</f>
        <v>8.0645161290322917E-4</v>
      </c>
      <c r="E41" s="42">
        <f>SQRT(2)*D41*$B$13/C41</f>
        <v>4.5987693885701965E-4</v>
      </c>
      <c r="F41" s="42">
        <f>(4*PI()/3)*$F$27^3*($B$9-$B$8)*($B$6/$E$18)*(1+ABS(D41)/$D$27)</f>
        <v>5.8937366164308391E-15</v>
      </c>
      <c r="G41" s="42">
        <f>F41*3/$F$27</f>
        <v>2.0782771575846943E-8</v>
      </c>
      <c r="H41" s="42">
        <f>F41/$E$18</f>
        <v>1.4734341541077099E-16</v>
      </c>
      <c r="I41" s="41">
        <f>(4*PI()/3)*$F$27^3*($B$9-$B$8)*($B$6/$E$18)*(1/$D$27)</f>
        <v>6.6349324998992218E-12</v>
      </c>
      <c r="J41" s="42">
        <f>(4*PI()/3)*$F$27^3*($B$9-$B$8)*($B$6/$E$18)*(ABS(D41)/$D$27^2)</f>
        <v>6.5382845894950505E-11</v>
      </c>
      <c r="K41" s="41">
        <f>SQRT(G41^2*$I$27^2+H41^2*$F$18^2+I41^2*E41^2+J41^2*$E$28^2)</f>
        <v>3.5151931437258627E-15</v>
      </c>
      <c r="L41" s="53">
        <f>K41/F41</f>
        <v>0.59642861099799405</v>
      </c>
    </row>
    <row r="42" spans="1:12" x14ac:dyDescent="0.25">
      <c r="A42" s="46">
        <v>2</v>
      </c>
      <c r="B42" s="48">
        <v>32.67</v>
      </c>
      <c r="C42" s="41">
        <f>B42-B41</f>
        <v>0.66000000000000369</v>
      </c>
      <c r="D42" s="42">
        <f t="shared" ref="D42:D45" si="7">$B$12/C42</f>
        <v>7.5757575757575335E-4</v>
      </c>
      <c r="E42" s="42">
        <f t="shared" ref="E42:E44" si="8">SQRT(2)*D42*$B$13/C42</f>
        <v>4.058234510942032E-4</v>
      </c>
      <c r="F42" s="42">
        <f t="shared" ref="F42:F45" si="9">(4*PI()/3)*$F$27^3*($B$9-$B$8)*($B$6/$E$18)*(1+ABS(D42)/$D$27)</f>
        <v>5.5694486154581965E-15</v>
      </c>
      <c r="G42" s="42">
        <f t="shared" ref="G42:G45" si="10">F42*3/$F$27</f>
        <v>1.9639251957034412E-8</v>
      </c>
      <c r="H42" s="42">
        <f t="shared" ref="H42:H45" si="11">F42/$E$18</f>
        <v>1.3923621538645491E-16</v>
      </c>
      <c r="I42" s="41">
        <f t="shared" ref="I42:I45" si="12">(4*PI()/3)*$F$27^3*($B$9-$B$8)*($B$6/$E$18)*(1/$D$27)</f>
        <v>6.6349324998992218E-12</v>
      </c>
      <c r="J42" s="42">
        <f t="shared" ref="J42:J45" si="13">(4*PI()/3)*$F$27^3*($B$9-$B$8)*($B$6/$E$18)*(ABS(D42)/$D$27^2)</f>
        <v>6.1420249174043817E-11</v>
      </c>
      <c r="K42" s="41">
        <f t="shared" ref="K42:K45" si="14">SQRT(G42^2*$I$27^2+H42^2*$F$18^2+I42^2*E42^2+J42^2*$E$28^2)</f>
        <v>3.1575074400035171E-15</v>
      </c>
      <c r="L42" s="53">
        <f t="shared" ref="L42:L45" si="15">K42/F42</f>
        <v>0.56693357960781732</v>
      </c>
    </row>
    <row r="43" spans="1:12" x14ac:dyDescent="0.25">
      <c r="A43" s="46">
        <v>3</v>
      </c>
      <c r="B43" s="48">
        <v>33.83</v>
      </c>
      <c r="C43" s="41">
        <f>B43-B42</f>
        <v>1.1599999999999966</v>
      </c>
      <c r="D43" s="42">
        <f t="shared" si="7"/>
        <v>4.3103448275862198E-4</v>
      </c>
      <c r="E43" s="42">
        <f t="shared" si="8"/>
        <v>1.3137388176028385E-4</v>
      </c>
      <c r="F43" s="42">
        <f t="shared" si="9"/>
        <v>3.4028692986154889E-15</v>
      </c>
      <c r="G43" s="42">
        <f t="shared" si="10"/>
        <v>1.1999357952038219E-8</v>
      </c>
      <c r="H43" s="42">
        <f t="shared" si="11"/>
        <v>8.5071732465387227E-17</v>
      </c>
      <c r="I43" s="41">
        <f t="shared" si="12"/>
        <v>6.6349324998992218E-12</v>
      </c>
      <c r="J43" s="42">
        <f t="shared" si="13"/>
        <v>3.4946003840404541E-11</v>
      </c>
      <c r="K43" s="41">
        <f t="shared" si="14"/>
        <v>1.3311914528438713E-15</v>
      </c>
      <c r="L43" s="53">
        <f t="shared" si="15"/>
        <v>0.39119676250436292</v>
      </c>
    </row>
    <row r="44" spans="1:12" x14ac:dyDescent="0.25">
      <c r="A44" s="46">
        <v>4</v>
      </c>
      <c r="B44" s="48">
        <v>34.770000000000003</v>
      </c>
      <c r="C44" s="41">
        <f>B44-B43</f>
        <v>0.94000000000000483</v>
      </c>
      <c r="D44" s="42">
        <f t="shared" si="7"/>
        <v>5.3191489361701857E-4</v>
      </c>
      <c r="E44" s="42">
        <f t="shared" si="8"/>
        <v>2.0006416398442179E-4</v>
      </c>
      <c r="F44" s="42">
        <f t="shared" si="9"/>
        <v>4.0722040152230507E-15</v>
      </c>
      <c r="G44" s="42">
        <f t="shared" si="10"/>
        <v>1.4359597546773158E-8</v>
      </c>
      <c r="H44" s="42">
        <f t="shared" si="11"/>
        <v>1.0180510038057627E-16</v>
      </c>
      <c r="I44" s="41">
        <f t="shared" si="12"/>
        <v>6.6349324998992218E-12</v>
      </c>
      <c r="J44" s="42">
        <f t="shared" si="13"/>
        <v>4.3124855803052064E-11</v>
      </c>
      <c r="K44" s="41">
        <f t="shared" si="14"/>
        <v>1.7926173189457821E-15</v>
      </c>
      <c r="L44" s="53">
        <f t="shared" si="15"/>
        <v>0.44020813108686879</v>
      </c>
    </row>
    <row r="45" spans="1:12" x14ac:dyDescent="0.25">
      <c r="A45" s="46">
        <v>5</v>
      </c>
      <c r="B45" s="48">
        <v>35.67</v>
      </c>
      <c r="C45" s="41">
        <f>B45-B44</f>
        <v>0.89999999999999858</v>
      </c>
      <c r="D45" s="42">
        <f t="shared" si="7"/>
        <v>5.5555555555555642E-4</v>
      </c>
      <c r="E45" s="42">
        <f>SQRT(2)*D45*$B$13/C45</f>
        <v>2.182428336995524E-4</v>
      </c>
      <c r="F45" s="42">
        <f t="shared" si="9"/>
        <v>4.2290582114381862E-15</v>
      </c>
      <c r="G45" s="42">
        <f t="shared" si="10"/>
        <v>1.4912704199276807E-8</v>
      </c>
      <c r="H45" s="42">
        <f t="shared" si="11"/>
        <v>1.0572645528595465E-16</v>
      </c>
      <c r="I45" s="41">
        <f t="shared" si="12"/>
        <v>6.6349324998992218E-12</v>
      </c>
      <c r="J45" s="42">
        <f t="shared" si="13"/>
        <v>4.5041516060965786E-11</v>
      </c>
      <c r="K45" s="41">
        <f t="shared" si="14"/>
        <v>1.9137843479364559E-15</v>
      </c>
      <c r="L45" s="53">
        <f t="shared" si="15"/>
        <v>0.45253204194737973</v>
      </c>
    </row>
    <row r="46" spans="1:12" x14ac:dyDescent="0.25">
      <c r="L46" s="53"/>
    </row>
    <row r="47" spans="1:12" x14ac:dyDescent="0.25">
      <c r="L47" s="53"/>
    </row>
    <row r="49" spans="1:12" x14ac:dyDescent="0.25">
      <c r="A49" s="41" t="s">
        <v>7</v>
      </c>
    </row>
    <row r="50" spans="1:12" x14ac:dyDescent="0.25">
      <c r="B50" s="41" t="s">
        <v>23</v>
      </c>
      <c r="C50" s="41" t="s">
        <v>27</v>
      </c>
      <c r="D50" s="41" t="s">
        <v>24</v>
      </c>
      <c r="E50" s="41" t="s">
        <v>29</v>
      </c>
      <c r="F50" s="41" t="s">
        <v>37</v>
      </c>
      <c r="G50" s="41" t="s">
        <v>39</v>
      </c>
      <c r="H50" s="41" t="s">
        <v>40</v>
      </c>
      <c r="I50" s="41" t="s">
        <v>41</v>
      </c>
      <c r="J50" s="41" t="s">
        <v>42</v>
      </c>
      <c r="K50" s="41" t="s">
        <v>2</v>
      </c>
      <c r="L50" s="41" t="s">
        <v>43</v>
      </c>
    </row>
    <row r="51" spans="1:12" x14ac:dyDescent="0.25">
      <c r="A51" s="46">
        <v>6</v>
      </c>
      <c r="B51" s="49">
        <v>36.54</v>
      </c>
      <c r="C51" s="41">
        <f>B51-B45</f>
        <v>0.86999999999999744</v>
      </c>
      <c r="D51" s="42">
        <f>$B$12/C51</f>
        <v>5.7471264367816265E-4</v>
      </c>
      <c r="E51" s="42">
        <f>SQRT(2)*D51*$B$13/C51</f>
        <v>2.3355356757383795E-4</v>
      </c>
      <c r="F51" s="42">
        <f>-(4*PI()/3)*$F$27^3*($B$9-$B$8)*($B$6/$E$18)*(1-ABS(D51)/$D$27)</f>
        <v>3.270194997260185E-15</v>
      </c>
      <c r="G51" s="42">
        <f>F51*3/$F$27</f>
        <v>1.153151558335053E-8</v>
      </c>
      <c r="H51" s="42">
        <f>F51/$E$18</f>
        <v>8.175487493150462E-17</v>
      </c>
      <c r="I51" s="41">
        <f>-(4*PI()/3)*$F$27^3*($B$9-$B$8)*($B$6/$E$18)*(-1/$D$27)</f>
        <v>6.6349324998992218E-12</v>
      </c>
      <c r="J51" s="42">
        <f>-(4*PI()/3)*$F$27^3*($B$9-$B$8)*($B$6/$E$18)*(-ABS(D51)/$D$27^2)</f>
        <v>4.6594671787206049E-11</v>
      </c>
      <c r="K51" s="41">
        <f>SQRT(G51^2*$I$27^2+H51^2*$F$18^2+I51^2*E51^2+J51^2*$E$28^2)</f>
        <v>1.8310930323761131E-15</v>
      </c>
      <c r="L51" s="53">
        <f>K51/F51</f>
        <v>0.55993389810400551</v>
      </c>
    </row>
    <row r="52" spans="1:12" x14ac:dyDescent="0.25">
      <c r="A52" s="46">
        <v>7</v>
      </c>
      <c r="B52" s="49">
        <v>37.47</v>
      </c>
      <c r="C52" s="41">
        <f>B52-B51</f>
        <v>0.92999999999999972</v>
      </c>
      <c r="D52" s="42">
        <f t="shared" ref="D52:D55" si="16">$B$12/C52</f>
        <v>5.3763440860215075E-4</v>
      </c>
      <c r="E52" s="42">
        <f t="shared" ref="E52:E54" si="17">SQRT(2)*D52*$B$13/C52</f>
        <v>2.0438975060311831E-4</v>
      </c>
      <c r="F52" s="42">
        <f t="shared" ref="F52:F55" si="18">-(4*PI()/3)*$F$27^3*($B$9-$B$8)*($B$6/$E$18)*(1-ABS(D52)/$D$27)</f>
        <v>3.0241834103154508E-15</v>
      </c>
      <c r="G52" s="42">
        <f t="shared" ref="G52:G55" si="19">F52*3/$F$27</f>
        <v>1.0664017941492848E-8</v>
      </c>
      <c r="H52" s="42">
        <f t="shared" ref="H52:H55" si="20">F52/$E$18</f>
        <v>7.5604585257886271E-17</v>
      </c>
      <c r="I52" s="41">
        <f t="shared" ref="I52:I55" si="21">-(4*PI()/3)*$F$27^3*($B$9-$B$8)*($B$6/$E$18)*(-1/$D$27)</f>
        <v>6.6349324998992218E-12</v>
      </c>
      <c r="J52" s="42">
        <f t="shared" ref="J52:J55" si="22">-(4*PI()/3)*$F$27^3*($B$9-$B$8)*($B$6/$E$18)*(-ABS(D52)/$D$27^2)</f>
        <v>4.3588563929966837E-11</v>
      </c>
      <c r="K52" s="41">
        <f t="shared" ref="K52:K55" si="23">SQRT(G52^2*$I$27^2+H52^2*$F$18^2+I52^2*E52^2+J52^2*$E$28^2)</f>
        <v>1.6289713073697684E-15</v>
      </c>
      <c r="L52" s="53">
        <f t="shared" ref="L52:L55" si="24">K52/F52</f>
        <v>0.53864831802640278</v>
      </c>
    </row>
    <row r="53" spans="1:12" x14ac:dyDescent="0.25">
      <c r="A53" s="46">
        <v>8</v>
      </c>
      <c r="B53" s="49">
        <v>38.14</v>
      </c>
      <c r="C53" s="41">
        <f>B53-B52</f>
        <v>0.67000000000000171</v>
      </c>
      <c r="D53" s="42">
        <f t="shared" si="16"/>
        <v>7.4626865671641607E-4</v>
      </c>
      <c r="E53" s="42">
        <f t="shared" si="17"/>
        <v>3.9379972220235246E-4</v>
      </c>
      <c r="F53" s="42">
        <f t="shared" si="18"/>
        <v>4.4084575637208276E-15</v>
      </c>
      <c r="G53" s="42">
        <f t="shared" si="19"/>
        <v>1.5545310642691802E-8</v>
      </c>
      <c r="H53" s="42">
        <f t="shared" si="20"/>
        <v>1.1021143909302069E-16</v>
      </c>
      <c r="I53" s="41">
        <f t="shared" si="21"/>
        <v>6.6349324998992218E-12</v>
      </c>
      <c r="J53" s="42">
        <f t="shared" si="22"/>
        <v>6.0503529037117972E-11</v>
      </c>
      <c r="K53" s="41">
        <f t="shared" si="23"/>
        <v>2.9243270157942099E-15</v>
      </c>
      <c r="L53" s="53">
        <f t="shared" si="24"/>
        <v>0.66334471264049522</v>
      </c>
    </row>
    <row r="54" spans="1:12" x14ac:dyDescent="0.25">
      <c r="A54" s="46">
        <v>9</v>
      </c>
      <c r="B54" s="49">
        <v>38.700000000000003</v>
      </c>
      <c r="C54" s="41">
        <f>B54-B53</f>
        <v>0.56000000000000227</v>
      </c>
      <c r="D54" s="42">
        <f t="shared" si="16"/>
        <v>8.9285714285713925E-4</v>
      </c>
      <c r="E54" s="42">
        <f t="shared" si="17"/>
        <v>5.6370119673672023E-4</v>
      </c>
      <c r="F54" s="42">
        <f t="shared" si="18"/>
        <v>5.3810622745269378E-15</v>
      </c>
      <c r="G54" s="42">
        <f t="shared" si="19"/>
        <v>1.8974955171075395E-8</v>
      </c>
      <c r="H54" s="42">
        <f t="shared" si="20"/>
        <v>1.3452655686317344E-16</v>
      </c>
      <c r="I54" s="41">
        <f t="shared" si="21"/>
        <v>6.6349324998992218E-12</v>
      </c>
      <c r="J54" s="42">
        <f t="shared" si="22"/>
        <v>7.2388150812266042E-11</v>
      </c>
      <c r="K54" s="41">
        <f t="shared" si="23"/>
        <v>4.0687653709973617E-15</v>
      </c>
      <c r="L54" s="53">
        <f t="shared" si="24"/>
        <v>0.75612679493753987</v>
      </c>
    </row>
    <row r="55" spans="1:12" x14ac:dyDescent="0.25">
      <c r="A55" s="46">
        <v>10</v>
      </c>
      <c r="B55" s="49">
        <v>39.35</v>
      </c>
      <c r="C55" s="41">
        <f>B55-B54</f>
        <v>0.64999999999999858</v>
      </c>
      <c r="D55" s="42">
        <f t="shared" si="16"/>
        <v>7.6923076923077096E-4</v>
      </c>
      <c r="E55" s="42">
        <f>SQRT(2)*D55*$B$13/C55</f>
        <v>4.1840637940032585E-4</v>
      </c>
      <c r="F55" s="42">
        <f t="shared" si="18"/>
        <v>4.5608096303086632E-15</v>
      </c>
      <c r="G55" s="42">
        <f t="shared" si="19"/>
        <v>1.6082541673711416E-8</v>
      </c>
      <c r="H55" s="42">
        <f t="shared" si="20"/>
        <v>1.1402024075771659E-16</v>
      </c>
      <c r="I55" s="41">
        <f t="shared" si="21"/>
        <v>6.6349324998992218E-12</v>
      </c>
      <c r="J55" s="42">
        <f t="shared" si="22"/>
        <v>6.2365176084414202E-11</v>
      </c>
      <c r="K55" s="41">
        <f t="shared" si="23"/>
        <v>3.0906826356007013E-15</v>
      </c>
      <c r="L55" s="53">
        <f t="shared" si="24"/>
        <v>0.67766096069033521</v>
      </c>
    </row>
    <row r="56" spans="1:12" x14ac:dyDescent="0.25">
      <c r="L56" s="53"/>
    </row>
    <row r="57" spans="1:12" x14ac:dyDescent="0.25">
      <c r="L57" s="53"/>
    </row>
    <row r="59" spans="1:12" x14ac:dyDescent="0.25">
      <c r="B59" s="41" t="s">
        <v>38</v>
      </c>
    </row>
    <row r="60" spans="1:12" x14ac:dyDescent="0.25">
      <c r="A60" s="42"/>
      <c r="B60" s="41" t="s">
        <v>44</v>
      </c>
      <c r="C60" s="41" t="s">
        <v>45</v>
      </c>
    </row>
    <row r="61" spans="1:12" x14ac:dyDescent="0.25">
      <c r="A61" s="41">
        <v>1</v>
      </c>
      <c r="B61" s="42">
        <f>F41</f>
        <v>5.8937366164308391E-15</v>
      </c>
      <c r="C61" s="41">
        <f>K41</f>
        <v>3.5151931437258627E-15</v>
      </c>
    </row>
    <row r="62" spans="1:12" x14ac:dyDescent="0.25">
      <c r="A62" s="41">
        <v>2</v>
      </c>
      <c r="B62" s="42">
        <f t="shared" ref="B62:B65" si="25">F42</f>
        <v>5.5694486154581965E-15</v>
      </c>
      <c r="C62" s="41">
        <f t="shared" ref="C62:C65" si="26">K42</f>
        <v>3.1575074400035171E-15</v>
      </c>
    </row>
    <row r="63" spans="1:12" x14ac:dyDescent="0.25">
      <c r="A63" s="41">
        <v>3</v>
      </c>
      <c r="B63" s="42">
        <f t="shared" si="25"/>
        <v>3.4028692986154889E-15</v>
      </c>
      <c r="C63" s="41">
        <f t="shared" si="26"/>
        <v>1.3311914528438713E-15</v>
      </c>
    </row>
    <row r="64" spans="1:12" x14ac:dyDescent="0.25">
      <c r="A64" s="41">
        <v>4</v>
      </c>
      <c r="B64" s="42">
        <f t="shared" si="25"/>
        <v>4.0722040152230507E-15</v>
      </c>
      <c r="C64" s="41">
        <f t="shared" si="26"/>
        <v>1.7926173189457821E-15</v>
      </c>
    </row>
    <row r="65" spans="1:3" x14ac:dyDescent="0.25">
      <c r="A65" s="41">
        <v>5</v>
      </c>
      <c r="B65" s="42">
        <f t="shared" si="25"/>
        <v>4.2290582114381862E-15</v>
      </c>
      <c r="C65" s="41">
        <f t="shared" si="26"/>
        <v>1.9137843479364559E-15</v>
      </c>
    </row>
    <row r="66" spans="1:3" x14ac:dyDescent="0.25">
      <c r="A66" s="41">
        <v>6</v>
      </c>
      <c r="B66" s="42">
        <f>F51</f>
        <v>3.270194997260185E-15</v>
      </c>
      <c r="C66" s="41">
        <f>K51</f>
        <v>1.8310930323761131E-15</v>
      </c>
    </row>
    <row r="67" spans="1:3" x14ac:dyDescent="0.25">
      <c r="A67" s="41">
        <v>7</v>
      </c>
      <c r="B67" s="42">
        <f t="shared" ref="B67:B70" si="27">F52</f>
        <v>3.0241834103154508E-15</v>
      </c>
      <c r="C67" s="41">
        <f t="shared" ref="C67:C70" si="28">K52</f>
        <v>1.6289713073697684E-15</v>
      </c>
    </row>
    <row r="68" spans="1:3" x14ac:dyDescent="0.25">
      <c r="A68" s="41">
        <v>8</v>
      </c>
      <c r="B68" s="42">
        <f t="shared" si="27"/>
        <v>4.4084575637208276E-15</v>
      </c>
      <c r="C68" s="41">
        <f t="shared" si="28"/>
        <v>2.9243270157942099E-15</v>
      </c>
    </row>
    <row r="69" spans="1:3" x14ac:dyDescent="0.25">
      <c r="A69" s="41">
        <v>9</v>
      </c>
      <c r="B69" s="42">
        <f t="shared" si="27"/>
        <v>5.3810622745269378E-15</v>
      </c>
      <c r="C69" s="41">
        <f t="shared" si="28"/>
        <v>4.0687653709973617E-15</v>
      </c>
    </row>
    <row r="70" spans="1:3" x14ac:dyDescent="0.25">
      <c r="A70" s="41">
        <v>10</v>
      </c>
      <c r="B70" s="42">
        <f t="shared" si="27"/>
        <v>4.5608096303086632E-15</v>
      </c>
      <c r="C70" s="41">
        <f t="shared" si="28"/>
        <v>3.0906826356007013E-15</v>
      </c>
    </row>
  </sheetData>
  <mergeCells count="2">
    <mergeCell ref="A1:C2"/>
    <mergeCell ref="A14:C15"/>
  </mergeCells>
  <conditionalFormatting sqref="C32:G36">
    <cfRule type="cellIs" dxfId="53" priority="5" operator="notBetween">
      <formula>-1.96</formula>
      <formula>1.96</formula>
    </cfRule>
  </conditionalFormatting>
  <conditionalFormatting sqref="L41:L47">
    <cfRule type="cellIs" priority="4" operator="greaterThan">
      <formula>0.04</formula>
    </cfRule>
  </conditionalFormatting>
  <conditionalFormatting sqref="L51:L57">
    <cfRule type="cellIs" priority="2" operator="greaterThan">
      <formula>0.04</formula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3" operator="greaterThan" id="{5EAC3753-4C38-4E43-BF92-0AC06B4473A6}">
            <xm:f>Dati!$B$14</xm:f>
            <x14:dxf>
              <fill>
                <patternFill>
                  <bgColor theme="5"/>
                </patternFill>
              </fill>
            </x14:dxf>
          </x14:cfRule>
          <xm:sqref>L41:L47</xm:sqref>
        </x14:conditionalFormatting>
        <x14:conditionalFormatting xmlns:xm="http://schemas.microsoft.com/office/excel/2006/main">
          <x14:cfRule type="cellIs" priority="1" operator="greaterThan" id="{3A84EC04-7522-43C2-9ACE-A06C4C74CF40}">
            <xm:f>Dati!$B$14</xm:f>
            <x14:dxf>
              <fill>
                <patternFill>
                  <bgColor theme="5"/>
                </patternFill>
              </fill>
            </x14:dxf>
          </x14:cfRule>
          <xm:sqref>L51:L57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topLeftCell="A4" workbookViewId="0">
      <selection activeCell="C24" sqref="C24"/>
    </sheetView>
  </sheetViews>
  <sheetFormatPr defaultRowHeight="15" x14ac:dyDescent="0.25"/>
  <cols>
    <col min="1" max="1" width="13.140625" style="49" customWidth="1"/>
    <col min="2" max="2" width="9.140625" style="49"/>
    <col min="3" max="5" width="12" style="49" customWidth="1"/>
    <col min="6" max="7" width="12.140625" style="49" customWidth="1"/>
    <col min="8" max="9" width="12" style="49" customWidth="1"/>
    <col min="10" max="10" width="9.140625" style="49"/>
    <col min="11" max="11" width="12" style="49" customWidth="1"/>
    <col min="12" max="16384" width="9.140625" style="49"/>
  </cols>
  <sheetData>
    <row r="1" spans="1:5" x14ac:dyDescent="0.25">
      <c r="A1" s="187" t="str">
        <f>[1]Dati!A1</f>
        <v>Costanti varie</v>
      </c>
      <c r="B1" s="187"/>
      <c r="C1" s="187"/>
    </row>
    <row r="2" spans="1:5" x14ac:dyDescent="0.25">
      <c r="A2" s="187"/>
      <c r="B2" s="187"/>
      <c r="C2" s="187"/>
    </row>
    <row r="4" spans="1:5" x14ac:dyDescent="0.25">
      <c r="B4" s="49" t="s">
        <v>1</v>
      </c>
      <c r="C4" s="49" t="s">
        <v>2</v>
      </c>
    </row>
    <row r="5" spans="1:5" x14ac:dyDescent="0.25">
      <c r="A5" s="49" t="str">
        <f>[1]Dati!A5</f>
        <v>d</v>
      </c>
      <c r="B5" s="50">
        <v>7.6</v>
      </c>
      <c r="C5" s="49">
        <f>[1]Dati!C5</f>
        <v>1.0000000000000001E-5</v>
      </c>
    </row>
    <row r="6" spans="1:5" x14ac:dyDescent="0.25">
      <c r="A6" s="49" t="str">
        <f>[1]Dati!A6</f>
        <v>g</v>
      </c>
      <c r="B6" s="49">
        <f>[1]Dati!B6</f>
        <v>9.8059999999999992</v>
      </c>
      <c r="C6" s="49">
        <f>[1]Dati!C6</f>
        <v>0</v>
      </c>
    </row>
    <row r="7" spans="1:5" x14ac:dyDescent="0.25">
      <c r="A7" s="49" t="str">
        <f>[1]Dati!A7</f>
        <v>pressione</v>
      </c>
      <c r="B7" s="49">
        <f>[1]Dati!B7</f>
        <v>101325</v>
      </c>
      <c r="C7" s="49">
        <f>[1]Dati!C7</f>
        <v>0</v>
      </c>
    </row>
    <row r="8" spans="1:5" x14ac:dyDescent="0.25">
      <c r="A8" s="49" t="str">
        <f>[1]Dati!A8</f>
        <v>densità aria</v>
      </c>
      <c r="B8" s="49">
        <v>0</v>
      </c>
      <c r="C8" s="49">
        <f>[1]Dati!C8</f>
        <v>0</v>
      </c>
    </row>
    <row r="9" spans="1:5" x14ac:dyDescent="0.25">
      <c r="A9" s="49" t="str">
        <f>[1]Dati!A9</f>
        <v>densità olio</v>
      </c>
      <c r="B9" s="49">
        <v>858.7</v>
      </c>
      <c r="C9" s="49">
        <f>[1]Dati!C9</f>
        <v>0</v>
      </c>
    </row>
    <row r="10" spans="1:5" x14ac:dyDescent="0.25">
      <c r="A10" s="49" t="str">
        <f>[1]Dati!A10</f>
        <v>cst corr vis</v>
      </c>
      <c r="B10" s="49">
        <f>[1]Dati!B10</f>
        <v>8.2000000000000007E-3</v>
      </c>
      <c r="C10" s="49">
        <f>[1]Dati!C10</f>
        <v>0</v>
      </c>
    </row>
    <row r="11" spans="1:5" x14ac:dyDescent="0.25">
      <c r="A11" s="49" t="str">
        <f>[1]Dati!A11</f>
        <v>e</v>
      </c>
      <c r="B11" s="49">
        <f>[1]Dati!B11</f>
        <v>1.6021766200000001E-19</v>
      </c>
      <c r="C11" s="49">
        <f>[1]Dati!C11</f>
        <v>0</v>
      </c>
    </row>
    <row r="12" spans="1:5" x14ac:dyDescent="0.25">
      <c r="A12" s="49" t="str">
        <f>[1]Dati!A12</f>
        <v>deltax</v>
      </c>
      <c r="B12" s="49">
        <f>[1]Dati!B12</f>
        <v>5.0000000000000001E-4</v>
      </c>
      <c r="C12" s="49">
        <f>[1]Dati!C12</f>
        <v>0</v>
      </c>
    </row>
    <row r="13" spans="1:5" x14ac:dyDescent="0.25">
      <c r="A13" s="49" t="s">
        <v>30</v>
      </c>
      <c r="B13" s="49">
        <f>Dati!B13</f>
        <v>0.25</v>
      </c>
    </row>
    <row r="14" spans="1:5" x14ac:dyDescent="0.25">
      <c r="A14" s="187" t="s">
        <v>17</v>
      </c>
      <c r="B14" s="187"/>
      <c r="C14" s="187"/>
      <c r="D14" s="52"/>
    </row>
    <row r="15" spans="1:5" x14ac:dyDescent="0.25">
      <c r="A15" s="187"/>
      <c r="B15" s="187"/>
      <c r="C15" s="187"/>
      <c r="D15" s="52"/>
    </row>
    <row r="16" spans="1:5" x14ac:dyDescent="0.25">
      <c r="A16" s="49" t="s">
        <v>18</v>
      </c>
      <c r="B16" s="49">
        <v>304</v>
      </c>
      <c r="C16" s="49">
        <f>B16/100</f>
        <v>3.04</v>
      </c>
      <c r="D16" s="49" t="s">
        <v>19</v>
      </c>
      <c r="E16" s="49">
        <f>(1.8+(B18-15)*0.004765)*0.00001</f>
        <v>1.8262075000000001E-5</v>
      </c>
    </row>
    <row r="17" spans="1:10" x14ac:dyDescent="0.25">
      <c r="A17" s="49" t="s">
        <v>20</v>
      </c>
      <c r="E17" s="51"/>
    </row>
    <row r="18" spans="1:10" x14ac:dyDescent="0.25">
      <c r="A18" s="49" t="s">
        <v>21</v>
      </c>
      <c r="B18" s="49">
        <v>20.5</v>
      </c>
      <c r="C18" s="49">
        <v>0.5</v>
      </c>
      <c r="D18" s="49" t="s">
        <v>22</v>
      </c>
      <c r="E18" s="50">
        <f>B16/B5</f>
        <v>40</v>
      </c>
      <c r="F18" s="49">
        <f>SQRT((C16/B5)^2+(B16*C5/B5^2)^2)</f>
        <v>0.40000000346260389</v>
      </c>
      <c r="G18" s="50"/>
    </row>
    <row r="21" spans="1:10" x14ac:dyDescent="0.25">
      <c r="B21" s="49" t="s">
        <v>23</v>
      </c>
      <c r="C21" s="49" t="s">
        <v>27</v>
      </c>
      <c r="D21" s="49" t="s">
        <v>24</v>
      </c>
      <c r="E21" s="49" t="s">
        <v>29</v>
      </c>
      <c r="F21" s="49" t="s">
        <v>25</v>
      </c>
      <c r="G21" s="49" t="s">
        <v>26</v>
      </c>
      <c r="H21" s="49" t="s">
        <v>28</v>
      </c>
      <c r="I21" s="49" t="s">
        <v>31</v>
      </c>
      <c r="J21" s="49" t="s">
        <v>32</v>
      </c>
    </row>
    <row r="22" spans="1:10" x14ac:dyDescent="0.25">
      <c r="A22" s="49">
        <v>1</v>
      </c>
      <c r="B22" s="55">
        <v>2.71</v>
      </c>
      <c r="C22" s="49">
        <f>B22</f>
        <v>2.71</v>
      </c>
      <c r="D22" s="50">
        <f>B12/B22</f>
        <v>1.8450184501845018E-4</v>
      </c>
      <c r="E22" s="50">
        <f>SQRT(2)*D22*$B$13/C22</f>
        <v>2.4070573017338665E-5</v>
      </c>
      <c r="F22" s="5">
        <f>(($B$10/(2*$B$7))^2+9*$E$16*D22/(2*$B$6*($B$9-$B$8)))^(1/2)-$B$10/(2*$B$7)</f>
        <v>1.3020301658186201E-6</v>
      </c>
      <c r="G22" s="49">
        <f>(($B$10/(2*$B$7))^2+9*$E$16*D22/(2*$B$6*($B$9-$B$8)))^(-1/2)*(9*$E$16)/(4*$B$6*$B$9)</f>
        <v>3.6348536416646073E-3</v>
      </c>
      <c r="H22" s="49">
        <f>(($B$10/(2*$B$7))^2+9*$E$16*D22/(2*$B$6*($B$9-$B$8)))^(-1/2)*((9*D22)/(4*$B$6*$B$9))*0.00000004765</f>
        <v>1.7498484008689384E-9</v>
      </c>
      <c r="I22" s="49">
        <f>SQRT(G22^2*E22^2+H22^2*$C$18^2+$F$28^2)</f>
        <v>1.0706318287790462E-7</v>
      </c>
      <c r="J22" s="50">
        <f>I22/F22</f>
        <v>8.2227882032664901E-2</v>
      </c>
    </row>
    <row r="23" spans="1:10" x14ac:dyDescent="0.25">
      <c r="A23" s="49">
        <v>2</v>
      </c>
      <c r="B23" s="55">
        <v>5.33</v>
      </c>
      <c r="C23" s="49">
        <f>B23-B22</f>
        <v>2.62</v>
      </c>
      <c r="D23" s="50">
        <f>$B$12/(B23-B22)</f>
        <v>1.9083969465648855E-4</v>
      </c>
      <c r="E23" s="50">
        <f t="shared" ref="E23:E25" si="0">SQRT(2)*D23*$B$13/C23</f>
        <v>2.5752679811292596E-5</v>
      </c>
      <c r="F23" s="5">
        <f>(($B$10/(2*$B$7))^2+9*E16*D23/(2*$B$6*($B$9-$B$8)))^(1/2)-$B$10/(2*$B$7)</f>
        <v>1.3248729839776214E-6</v>
      </c>
      <c r="G23" s="49">
        <f t="shared" ref="G23:G27" si="1">(($B$10/(2*$B$7))^2+9*$E$16*D23/(2*$B$6*($B$9-$B$8)))^(-1/2)*(9*$E$16)/(4*$B$6*$B$9)</f>
        <v>3.5740405891888189E-3</v>
      </c>
      <c r="H23" s="49">
        <f t="shared" ref="H23:H27" si="2">(($B$10/(2*$B$7))^2+9*$E$16*D23/(2*$B$6*($B$9-$B$8)))^(-1/2)*((9*D23)/(4*$B$6*$B$9))*0.00000004765</f>
        <v>1.7796761332935827E-9</v>
      </c>
      <c r="I23" s="49">
        <f t="shared" ref="I23:I27" si="3">SQRT(G23^2*E23^2+H23^2*$C$18^2+$F$28^2)</f>
        <v>1.1081106876077207E-7</v>
      </c>
      <c r="J23" s="50">
        <f t="shared" ref="J23:J27" si="4">I23/F23</f>
        <v>8.3639013023035419E-2</v>
      </c>
    </row>
    <row r="24" spans="1:10" x14ac:dyDescent="0.25">
      <c r="A24" s="49">
        <v>3</v>
      </c>
      <c r="B24" s="55">
        <v>7.49</v>
      </c>
      <c r="C24" s="49">
        <f t="shared" ref="C24:C26" si="5">B24-B23</f>
        <v>2.16</v>
      </c>
      <c r="D24" s="50">
        <f>$B$12/(B24-B23)</f>
        <v>2.3148148148148146E-4</v>
      </c>
      <c r="E24" s="50">
        <f t="shared" si="0"/>
        <v>3.788938085061661E-5</v>
      </c>
      <c r="F24" s="5">
        <f>(($B$10/(2*$B$7))^2+9*E16*D24/(2*$B$6*($B$9-$B$8)))^(1/2)-$B$10/(2*$B$7)</f>
        <v>1.463128433339668E-6</v>
      </c>
      <c r="G24" s="49">
        <f t="shared" si="1"/>
        <v>3.2454072276862722E-3</v>
      </c>
      <c r="H24" s="49">
        <f t="shared" si="2"/>
        <v>1.9601902972169816E-9</v>
      </c>
      <c r="I24" s="49">
        <f t="shared" si="3"/>
        <v>1.375806900833391E-7</v>
      </c>
      <c r="J24" s="50">
        <f t="shared" si="4"/>
        <v>9.4031861419919163E-2</v>
      </c>
    </row>
    <row r="25" spans="1:10" x14ac:dyDescent="0.25">
      <c r="A25" s="49">
        <v>4</v>
      </c>
      <c r="B25" s="55">
        <v>9.98</v>
      </c>
      <c r="C25" s="49">
        <f t="shared" si="5"/>
        <v>2.4900000000000002</v>
      </c>
      <c r="D25" s="50">
        <f>$B$12/(B25-B24)</f>
        <v>2.008032128514056E-4</v>
      </c>
      <c r="E25" s="50">
        <f t="shared" si="0"/>
        <v>2.8511910339613372E-5</v>
      </c>
      <c r="F25" s="5">
        <f>(($B$10/(2*$B$7))^2+9*E16*D25/(2*$B$6*($B$9-$B$8)))^(1/2)-$B$10/(2*$B$7)</f>
        <v>1.3600303520188578E-6</v>
      </c>
      <c r="G25" s="49">
        <f t="shared" si="1"/>
        <v>3.4843195036932777E-3</v>
      </c>
      <c r="H25" s="49">
        <f t="shared" si="2"/>
        <v>1.8255822819918632E-9</v>
      </c>
      <c r="I25" s="49">
        <f t="shared" si="3"/>
        <v>1.1694835024627714E-7</v>
      </c>
      <c r="J25" s="50">
        <f t="shared" si="4"/>
        <v>8.5989514919778479E-2</v>
      </c>
    </row>
    <row r="26" spans="1:10" x14ac:dyDescent="0.25">
      <c r="A26" s="49">
        <v>5</v>
      </c>
      <c r="B26" s="55">
        <v>12.48</v>
      </c>
      <c r="C26" s="49">
        <f t="shared" si="5"/>
        <v>2.5</v>
      </c>
      <c r="D26" s="50">
        <f>$B$12/(B26-B25)</f>
        <v>2.0000000000000001E-4</v>
      </c>
      <c r="E26" s="50">
        <f>SQRT(2)*D26*$B$13/C26</f>
        <v>2.8284271247461902E-5</v>
      </c>
      <c r="F26" s="5">
        <f>(($B$10/(2*$B$7))^2+9*E16*D26/(2*$B$6*($B$9-$B$8)))^(1/2)-$B$10/(2*$B$7)</f>
        <v>1.3572288998991839E-6</v>
      </c>
      <c r="G26" s="49">
        <f t="shared" si="1"/>
        <v>3.4913032662065072E-3</v>
      </c>
      <c r="H26" s="49">
        <f t="shared" si="2"/>
        <v>1.8219244049182807E-9</v>
      </c>
      <c r="I26" s="49">
        <f t="shared" si="3"/>
        <v>1.1644278203514723E-7</v>
      </c>
      <c r="J26" s="50">
        <f t="shared" si="4"/>
        <v>8.5794505292214676E-2</v>
      </c>
    </row>
    <row r="27" spans="1:10" x14ac:dyDescent="0.25">
      <c r="A27" s="7" t="s">
        <v>34</v>
      </c>
      <c r="B27" s="7"/>
      <c r="C27" s="7">
        <f>AVERAGE(C22:C26)</f>
        <v>2.496</v>
      </c>
      <c r="D27" s="7">
        <f>AVERAGE(D22:D26)</f>
        <v>2.0152524680156517E-4</v>
      </c>
      <c r="E27" s="8">
        <f>SQRT(2)*D27*$B$13/C27</f>
        <v>2.8545646753541532E-5</v>
      </c>
      <c r="F27" s="9">
        <f>AVERAGE(F22:F26)</f>
        <v>1.3614581670107903E-6</v>
      </c>
      <c r="G27" s="7">
        <f t="shared" si="1"/>
        <v>3.4780772136729322E-3</v>
      </c>
      <c r="H27" s="7">
        <f t="shared" si="2"/>
        <v>1.828864221461586E-9</v>
      </c>
      <c r="I27" s="7">
        <f t="shared" si="3"/>
        <v>1.1689685383953872E-7</v>
      </c>
      <c r="J27" s="8">
        <f t="shared" si="4"/>
        <v>8.5861509866437369E-2</v>
      </c>
    </row>
    <row r="28" spans="1:10" x14ac:dyDescent="0.25">
      <c r="A28" s="49" t="s">
        <v>35</v>
      </c>
      <c r="C28" s="6">
        <f>_xlfn.STDEV.S(C22:C26)</f>
        <v>0.20863844324572589</v>
      </c>
      <c r="D28" s="50">
        <f>_xlfn.STDEV.S(D22:D26)</f>
        <v>1.8056861160952099E-5</v>
      </c>
      <c r="E28" s="8">
        <f>SQRT(2)*D28*$B$13/C28</f>
        <v>3.0598696901738866E-5</v>
      </c>
      <c r="F28" s="50">
        <f>_xlfn.STDEV.S(F22:F26)</f>
        <v>6.1698726394076534E-8</v>
      </c>
    </row>
    <row r="30" spans="1:10" x14ac:dyDescent="0.25">
      <c r="A30" s="49" t="s">
        <v>31</v>
      </c>
      <c r="C30" s="49">
        <f t="array" ref="C30:G31">TRANSPOSE(A32:B36)</f>
        <v>1.0706318287790462E-7</v>
      </c>
      <c r="D30" s="49">
        <v>1.1081106876077207E-7</v>
      </c>
      <c r="E30" s="49">
        <v>1.375806900833391E-7</v>
      </c>
      <c r="F30" s="49">
        <v>1.1694835024627714E-7</v>
      </c>
      <c r="G30" s="49">
        <v>1.1644278203514723E-7</v>
      </c>
    </row>
    <row r="31" spans="1:10" x14ac:dyDescent="0.25">
      <c r="B31" s="49" t="s">
        <v>25</v>
      </c>
      <c r="C31" s="49">
        <v>1.3020301658186201E-6</v>
      </c>
      <c r="D31" s="49">
        <v>1.3248729839776214E-6</v>
      </c>
      <c r="E31" s="49">
        <v>1.463128433339668E-6</v>
      </c>
      <c r="F31" s="49">
        <v>1.3600303520188578E-6</v>
      </c>
      <c r="G31" s="49">
        <v>1.3572288998991839E-6</v>
      </c>
    </row>
    <row r="32" spans="1:10" x14ac:dyDescent="0.25">
      <c r="A32" s="49">
        <f>I22</f>
        <v>1.0706318287790462E-7</v>
      </c>
      <c r="B32" s="5">
        <f>F22</f>
        <v>1.3020301658186201E-6</v>
      </c>
      <c r="C32" s="49">
        <f t="shared" ref="C32:G36" si="6">(C$31-$B32)/SQRT(C$30^2+$A32^2)</f>
        <v>0</v>
      </c>
      <c r="D32" s="49">
        <f t="shared" si="6"/>
        <v>0.14824993966226535</v>
      </c>
      <c r="E32" s="49">
        <f t="shared" si="6"/>
        <v>0.92409916741359022</v>
      </c>
      <c r="F32" s="49">
        <f t="shared" si="6"/>
        <v>0.36580663045058665</v>
      </c>
      <c r="G32" s="49">
        <f t="shared" si="6"/>
        <v>0.34895780011345101</v>
      </c>
    </row>
    <row r="33" spans="1:12" x14ac:dyDescent="0.25">
      <c r="A33" s="49">
        <f>I23</f>
        <v>1.1081106876077207E-7</v>
      </c>
      <c r="B33" s="5">
        <f>F23</f>
        <v>1.3248729839776214E-6</v>
      </c>
      <c r="C33" s="49">
        <f t="shared" si="6"/>
        <v>-0.14824993966226535</v>
      </c>
      <c r="D33" s="49">
        <f t="shared" si="6"/>
        <v>0</v>
      </c>
      <c r="E33" s="49">
        <f t="shared" si="6"/>
        <v>0.78262279906534404</v>
      </c>
      <c r="F33" s="49">
        <f t="shared" si="6"/>
        <v>0.21822142752043625</v>
      </c>
      <c r="G33" s="49">
        <f t="shared" si="6"/>
        <v>0.20129089452087787</v>
      </c>
    </row>
    <row r="34" spans="1:12" x14ac:dyDescent="0.25">
      <c r="A34" s="49">
        <f>I24</f>
        <v>1.375806900833391E-7</v>
      </c>
      <c r="B34" s="5">
        <f>F24</f>
        <v>1.463128433339668E-6</v>
      </c>
      <c r="C34" s="49">
        <f t="shared" si="6"/>
        <v>-0.92409916741359022</v>
      </c>
      <c r="D34" s="49">
        <f t="shared" si="6"/>
        <v>-0.78262279906534404</v>
      </c>
      <c r="E34" s="49">
        <f t="shared" si="6"/>
        <v>0</v>
      </c>
      <c r="F34" s="49">
        <f t="shared" si="6"/>
        <v>-0.57096049968357088</v>
      </c>
      <c r="G34" s="49">
        <f t="shared" si="6"/>
        <v>-0.58753911440291196</v>
      </c>
    </row>
    <row r="35" spans="1:12" x14ac:dyDescent="0.25">
      <c r="A35" s="49">
        <f>I25</f>
        <v>1.1694835024627714E-7</v>
      </c>
      <c r="B35" s="5">
        <f>F25</f>
        <v>1.3600303520188578E-6</v>
      </c>
      <c r="C35" s="49">
        <f t="shared" si="6"/>
        <v>-0.36580663045058665</v>
      </c>
      <c r="D35" s="49">
        <f t="shared" si="6"/>
        <v>-0.21822142752043625</v>
      </c>
      <c r="E35" s="49">
        <f t="shared" si="6"/>
        <v>0.57096049968357088</v>
      </c>
      <c r="F35" s="49">
        <f t="shared" si="6"/>
        <v>0</v>
      </c>
      <c r="G35" s="49">
        <f t="shared" si="6"/>
        <v>-1.6975119183324738E-2</v>
      </c>
    </row>
    <row r="36" spans="1:12" x14ac:dyDescent="0.25">
      <c r="A36" s="49">
        <f>I26</f>
        <v>1.1644278203514723E-7</v>
      </c>
      <c r="B36" s="5">
        <f>F26</f>
        <v>1.3572288998991839E-6</v>
      </c>
      <c r="C36" s="49">
        <f t="shared" si="6"/>
        <v>-0.34895780011345101</v>
      </c>
      <c r="D36" s="49">
        <f t="shared" si="6"/>
        <v>-0.20129089452087787</v>
      </c>
      <c r="E36" s="49">
        <f t="shared" si="6"/>
        <v>0.58753911440291196</v>
      </c>
      <c r="F36" s="49">
        <f t="shared" si="6"/>
        <v>1.6975119183324738E-2</v>
      </c>
      <c r="G36" s="49">
        <f t="shared" si="6"/>
        <v>0</v>
      </c>
    </row>
    <row r="39" spans="1:12" x14ac:dyDescent="0.25">
      <c r="A39" s="49" t="s">
        <v>7</v>
      </c>
    </row>
    <row r="40" spans="1:12" x14ac:dyDescent="0.25">
      <c r="B40" s="49" t="s">
        <v>36</v>
      </c>
      <c r="C40" s="49" t="s">
        <v>27</v>
      </c>
      <c r="D40" s="49" t="s">
        <v>24</v>
      </c>
      <c r="E40" s="49" t="s">
        <v>29</v>
      </c>
      <c r="F40" s="49" t="s">
        <v>37</v>
      </c>
      <c r="G40" s="49" t="s">
        <v>39</v>
      </c>
      <c r="H40" s="49" t="s">
        <v>40</v>
      </c>
      <c r="I40" s="49" t="s">
        <v>41</v>
      </c>
      <c r="J40" s="49" t="s">
        <v>42</v>
      </c>
      <c r="K40" s="49" t="s">
        <v>2</v>
      </c>
      <c r="L40" s="49" t="s">
        <v>43</v>
      </c>
    </row>
    <row r="41" spans="1:12" x14ac:dyDescent="0.25">
      <c r="A41" s="54">
        <v>1</v>
      </c>
      <c r="B41" s="56">
        <v>13.04</v>
      </c>
      <c r="C41" s="49">
        <f>B41-B26</f>
        <v>0.55999999999999872</v>
      </c>
      <c r="D41" s="50">
        <f>$B$12/C41</f>
        <v>8.9285714285714489E-4</v>
      </c>
      <c r="E41" s="50">
        <f>SQRT(2)*D41*$B$13/C41</f>
        <v>5.6370119673672739E-4</v>
      </c>
      <c r="F41" s="50">
        <f>(4*PI()/3)*$F$27^3*($B$9-$B$8)*($B$6/$E$18)*(1+ABS(D41)/$D$27)</f>
        <v>1.2084105507795069E-14</v>
      </c>
      <c r="G41" s="50">
        <f>F41*3/$F$27</f>
        <v>2.6627565504256795E-8</v>
      </c>
      <c r="H41" s="50">
        <f>F41/$E$18</f>
        <v>3.0210263769487673E-16</v>
      </c>
      <c r="I41" s="49">
        <f>(4*PI()/3)*$F$27^3*($B$9-$B$8)*($B$6/$E$18)*(1/$D$27)</f>
        <v>1.1041940753052113E-11</v>
      </c>
      <c r="J41" s="50">
        <f>(4*PI()/3)*$F$27^3*($B$9-$B$8)*($B$6/$E$18)*(ABS(D41)/$D$27^2)</f>
        <v>4.8921293132446422E-11</v>
      </c>
      <c r="K41" s="49">
        <f>SQRT(G41^2*$I$27^2+H41^2*$F$18^2+I41^2*E41^2+J41^2*$E$28^2)</f>
        <v>7.1194635750988033E-15</v>
      </c>
      <c r="L41" s="53">
        <f>K41/F41</f>
        <v>0.58915933583220248</v>
      </c>
    </row>
    <row r="42" spans="1:12" x14ac:dyDescent="0.25">
      <c r="A42" s="54">
        <v>2</v>
      </c>
      <c r="B42" s="56">
        <v>14.1</v>
      </c>
      <c r="C42" s="49">
        <f>B42-B41</f>
        <v>1.0600000000000005</v>
      </c>
      <c r="D42" s="50">
        <f t="shared" ref="D42:D45" si="7">$B$12/C42</f>
        <v>4.7169811320754696E-4</v>
      </c>
      <c r="E42" s="50">
        <f t="shared" ref="E42:E44" si="8">SQRT(2)*D42*$B$13/C42</f>
        <v>1.5733062949148873E-4</v>
      </c>
      <c r="F42" s="50">
        <f t="shared" ref="F42:F45" si="9">(4*PI()/3)*$F$27^3*($B$9-$B$8)*($B$6/$E$18)*(1+ABS(D42)/$D$27)</f>
        <v>7.4336924547912894E-15</v>
      </c>
      <c r="G42" s="50">
        <f t="shared" ref="G42:G45" si="10">F42*3/$F$27</f>
        <v>1.6380288359015822E-8</v>
      </c>
      <c r="H42" s="50">
        <f t="shared" ref="H42:H45" si="11">F42/$E$18</f>
        <v>1.8584231136978222E-16</v>
      </c>
      <c r="I42" s="49">
        <f t="shared" ref="I42:I45" si="12">(4*PI()/3)*$F$27^3*($B$9-$B$8)*($B$6/$E$18)*(1/$D$27)</f>
        <v>1.1041940753052113E-11</v>
      </c>
      <c r="J42" s="50">
        <f t="shared" ref="J42:J45" si="13">(4*PI()/3)*$F$27^3*($B$9-$B$8)*($B$6/$E$18)*(ABS(D42)/$D$27^2)</f>
        <v>2.5845211466198041E-11</v>
      </c>
      <c r="K42" s="49">
        <f t="shared" ref="K42:K45" si="14">SQRT(G42^2*$I$27^2+H42^2*$F$18^2+I42^2*E42^2+J42^2*$E$28^2)</f>
        <v>2.704699596936607E-15</v>
      </c>
      <c r="L42" s="53">
        <f t="shared" ref="L42:L45" si="15">K42/F42</f>
        <v>0.36384335421266023</v>
      </c>
    </row>
    <row r="43" spans="1:12" x14ac:dyDescent="0.25">
      <c r="A43" s="54">
        <v>3</v>
      </c>
      <c r="B43" s="56">
        <v>15.15</v>
      </c>
      <c r="C43" s="49">
        <f>B43-B42</f>
        <v>1.0500000000000007</v>
      </c>
      <c r="D43" s="50">
        <f t="shared" si="7"/>
        <v>4.7619047619047586E-4</v>
      </c>
      <c r="E43" s="50">
        <f t="shared" si="8"/>
        <v>1.6034167373844594E-4</v>
      </c>
      <c r="F43" s="50">
        <f t="shared" si="9"/>
        <v>7.4832968606899943E-15</v>
      </c>
      <c r="G43" s="50">
        <f t="shared" si="10"/>
        <v>1.6489592648565054E-8</v>
      </c>
      <c r="H43" s="50">
        <f t="shared" si="11"/>
        <v>1.8708242151724986E-16</v>
      </c>
      <c r="I43" s="49">
        <f t="shared" si="12"/>
        <v>1.1041940753052113E-11</v>
      </c>
      <c r="J43" s="50">
        <f t="shared" si="13"/>
        <v>2.6091356337304681E-11</v>
      </c>
      <c r="K43" s="49">
        <f t="shared" si="14"/>
        <v>2.7373641501360793E-15</v>
      </c>
      <c r="L43" s="53">
        <f t="shared" si="15"/>
        <v>0.36579654677546519</v>
      </c>
    </row>
    <row r="44" spans="1:12" x14ac:dyDescent="0.25">
      <c r="A44" s="54">
        <v>4</v>
      </c>
      <c r="B44" s="56">
        <v>16.57</v>
      </c>
      <c r="C44" s="49">
        <f>B44-B43</f>
        <v>1.42</v>
      </c>
      <c r="D44" s="50">
        <f t="shared" si="7"/>
        <v>3.5211267605633805E-4</v>
      </c>
      <c r="E44" s="50">
        <f t="shared" si="8"/>
        <v>8.7669458091964349E-5</v>
      </c>
      <c r="F44" s="50">
        <f t="shared" si="9"/>
        <v>6.1132371428398042E-15</v>
      </c>
      <c r="G44" s="50">
        <f t="shared" si="10"/>
        <v>1.3470638961155874E-8</v>
      </c>
      <c r="H44" s="50">
        <f t="shared" si="11"/>
        <v>1.528309285709951E-16</v>
      </c>
      <c r="I44" s="49">
        <f t="shared" si="12"/>
        <v>1.1041940753052113E-11</v>
      </c>
      <c r="J44" s="50">
        <f t="shared" si="13"/>
        <v>1.9292904333922491E-11</v>
      </c>
      <c r="K44" s="49">
        <f t="shared" si="14"/>
        <v>1.9413761750117918E-15</v>
      </c>
      <c r="L44" s="53">
        <f t="shared" si="15"/>
        <v>0.317569256623007</v>
      </c>
    </row>
    <row r="45" spans="1:12" x14ac:dyDescent="0.25">
      <c r="A45" s="54">
        <v>5</v>
      </c>
      <c r="B45" s="56">
        <v>17.760000000000002</v>
      </c>
      <c r="C45" s="49">
        <f>B45-B44</f>
        <v>1.1900000000000013</v>
      </c>
      <c r="D45" s="50">
        <f t="shared" si="7"/>
        <v>4.2016806722689029E-4</v>
      </c>
      <c r="E45" s="50">
        <f>SQRT(2)*D45*$B$13/C45</f>
        <v>1.2483348301436093E-4</v>
      </c>
      <c r="F45" s="50">
        <f t="shared" si="9"/>
        <v>6.8647007400708274E-15</v>
      </c>
      <c r="G45" s="50">
        <f t="shared" si="10"/>
        <v>1.5126503861245162E-8</v>
      </c>
      <c r="H45" s="50">
        <f t="shared" si="11"/>
        <v>1.7161751850177069E-16</v>
      </c>
      <c r="I45" s="49">
        <f t="shared" si="12"/>
        <v>1.1041940753052113E-11</v>
      </c>
      <c r="J45" s="50">
        <f t="shared" si="13"/>
        <v>2.3021785003504123E-11</v>
      </c>
      <c r="K45" s="49">
        <f t="shared" si="14"/>
        <v>2.3510882487594875E-15</v>
      </c>
      <c r="L45" s="53">
        <f t="shared" si="15"/>
        <v>0.34248954729164638</v>
      </c>
    </row>
    <row r="46" spans="1:12" x14ac:dyDescent="0.25">
      <c r="L46" s="53"/>
    </row>
    <row r="47" spans="1:12" x14ac:dyDescent="0.25">
      <c r="L47" s="53"/>
    </row>
    <row r="49" spans="1:12" x14ac:dyDescent="0.25">
      <c r="A49" s="49" t="s">
        <v>7</v>
      </c>
    </row>
    <row r="50" spans="1:12" x14ac:dyDescent="0.25">
      <c r="B50" s="49" t="s">
        <v>23</v>
      </c>
      <c r="C50" s="49" t="s">
        <v>27</v>
      </c>
      <c r="D50" s="49" t="s">
        <v>24</v>
      </c>
      <c r="E50" s="49" t="s">
        <v>29</v>
      </c>
      <c r="F50" s="49" t="s">
        <v>37</v>
      </c>
      <c r="G50" s="49" t="s">
        <v>39</v>
      </c>
      <c r="H50" s="49" t="s">
        <v>40</v>
      </c>
      <c r="I50" s="49" t="s">
        <v>41</v>
      </c>
      <c r="J50" s="49" t="s">
        <v>42</v>
      </c>
      <c r="K50" s="49" t="s">
        <v>2</v>
      </c>
      <c r="L50" s="49" t="s">
        <v>43</v>
      </c>
    </row>
    <row r="51" spans="1:12" x14ac:dyDescent="0.25">
      <c r="A51" s="54">
        <v>6</v>
      </c>
      <c r="B51" s="57">
        <v>19.13</v>
      </c>
      <c r="C51" s="49">
        <f>B51-B45</f>
        <v>1.3699999999999974</v>
      </c>
      <c r="D51" s="50">
        <f>$B$12/C51</f>
        <v>3.6496350364963572E-4</v>
      </c>
      <c r="E51" s="50">
        <f>SQRT(2)*D51*$B$13/C51</f>
        <v>9.4185462889145708E-5</v>
      </c>
      <c r="F51" s="50">
        <f>-(4*PI()/3)*$F$27^3*($B$9-$B$8)*($B$6/$E$18)*(1-ABS(D51)/$D$27)</f>
        <v>1.8046755488985088E-15</v>
      </c>
      <c r="G51" s="50">
        <f>F51*3/$F$27</f>
        <v>3.9766382676175296E-9</v>
      </c>
      <c r="H51" s="50">
        <f>F51/$E$18</f>
        <v>4.511688872246272E-17</v>
      </c>
      <c r="I51" s="49">
        <f>-(4*PI()/3)*$F$27^3*($B$9-$B$8)*($B$6/$E$18)*(-1/$D$27)</f>
        <v>1.1041940753052113E-11</v>
      </c>
      <c r="J51" s="50">
        <f>-(4*PI()/3)*$F$27^3*($B$9-$B$8)*($B$6/$E$18)*(-ABS(D51)/$D$27^2)</f>
        <v>1.9997024930051084E-11</v>
      </c>
      <c r="K51" s="49">
        <f>SQRT(G51^2*$I$27^2+H51^2*$F$18^2+I51^2*E51^2+J51^2*$E$28^2)</f>
        <v>1.2932121900630651E-15</v>
      </c>
      <c r="L51" s="53">
        <f>K51/F51</f>
        <v>0.71658985508635198</v>
      </c>
    </row>
    <row r="52" spans="1:12" x14ac:dyDescent="0.25">
      <c r="A52" s="54">
        <v>7</v>
      </c>
      <c r="B52" s="57">
        <v>19.760000000000002</v>
      </c>
      <c r="C52" s="49">
        <f>B52-B51</f>
        <v>0.63000000000000256</v>
      </c>
      <c r="D52" s="50">
        <f t="shared" ref="D52:D55" si="16">$B$12/C52</f>
        <v>7.936507936507904E-4</v>
      </c>
      <c r="E52" s="50">
        <f t="shared" ref="E52:E54" si="17">SQRT(2)*D52*$B$13/C52</f>
        <v>4.4539353816234681E-4</v>
      </c>
      <c r="F52" s="50">
        <f t="shared" ref="F52:F55" si="18">-(4*PI()/3)*$F$27^3*($B$9-$B$8)*($B$6/$E$18)*(1-ABS(D52)/$D$27)</f>
        <v>6.5382152066777289E-15</v>
      </c>
      <c r="G52" s="50">
        <f t="shared" ref="G52:G55" si="19">F52*3/$F$27</f>
        <v>1.440708653068569E-8</v>
      </c>
      <c r="H52" s="50">
        <f t="shared" ref="H52:H55" si="20">F52/$E$18</f>
        <v>1.6345538016694322E-16</v>
      </c>
      <c r="I52" s="49">
        <f t="shared" ref="I52:I55" si="21">-(4*PI()/3)*$F$27^3*($B$9-$B$8)*($B$6/$E$18)*(-1/$D$27)</f>
        <v>1.1041940753052113E-11</v>
      </c>
      <c r="J52" s="50">
        <f t="shared" ref="J52:J55" si="22">-(4*PI()/3)*$F$27^3*($B$9-$B$8)*($B$6/$E$18)*(-ABS(D52)/$D$27^2)</f>
        <v>4.3485593895507656E-11</v>
      </c>
      <c r="K52" s="49">
        <f t="shared" ref="K52:K55" si="23">SQRT(G52^2*$I$27^2+H52^2*$F$18^2+I52^2*E52^2+J52^2*$E$28^2)</f>
        <v>5.3663701807072095E-15</v>
      </c>
      <c r="L52" s="53">
        <f t="shared" ref="L52:L55" si="24">K52/F52</f>
        <v>0.82076989072282769</v>
      </c>
    </row>
    <row r="53" spans="1:12" x14ac:dyDescent="0.25">
      <c r="A53" s="54">
        <v>8</v>
      </c>
      <c r="B53" s="57">
        <v>20.41</v>
      </c>
      <c r="C53" s="49">
        <f>B53-B52</f>
        <v>0.64999999999999858</v>
      </c>
      <c r="D53" s="50">
        <f t="shared" si="16"/>
        <v>7.6923076923077096E-4</v>
      </c>
      <c r="E53" s="50">
        <f t="shared" si="17"/>
        <v>4.1840637940032585E-4</v>
      </c>
      <c r="F53" s="50">
        <f t="shared" si="18"/>
        <v>6.2685707438437885E-15</v>
      </c>
      <c r="G53" s="50">
        <f t="shared" si="19"/>
        <v>1.3812919623392527E-8</v>
      </c>
      <c r="H53" s="50">
        <f t="shared" si="20"/>
        <v>1.5671426859609472E-16</v>
      </c>
      <c r="I53" s="49">
        <f t="shared" si="21"/>
        <v>1.1041940753052113E-11</v>
      </c>
      <c r="J53" s="50">
        <f t="shared" si="22"/>
        <v>4.214757562179999E-11</v>
      </c>
      <c r="K53" s="49">
        <f t="shared" si="23"/>
        <v>5.0615154669442939E-15</v>
      </c>
      <c r="L53" s="53">
        <f t="shared" si="24"/>
        <v>0.80744330307113243</v>
      </c>
    </row>
    <row r="54" spans="1:12" x14ac:dyDescent="0.25">
      <c r="A54" s="54">
        <v>9</v>
      </c>
      <c r="B54" s="57">
        <v>21.06</v>
      </c>
      <c r="C54" s="49">
        <f>B54-B53</f>
        <v>0.64999999999999858</v>
      </c>
      <c r="D54" s="50">
        <f t="shared" si="16"/>
        <v>7.6923076923077096E-4</v>
      </c>
      <c r="E54" s="50">
        <f t="shared" si="17"/>
        <v>4.1840637940032585E-4</v>
      </c>
      <c r="F54" s="50">
        <f t="shared" si="18"/>
        <v>6.2685707438437885E-15</v>
      </c>
      <c r="G54" s="50">
        <f t="shared" si="19"/>
        <v>1.3812919623392527E-8</v>
      </c>
      <c r="H54" s="50">
        <f t="shared" si="20"/>
        <v>1.5671426859609472E-16</v>
      </c>
      <c r="I54" s="49">
        <f t="shared" si="21"/>
        <v>1.1041940753052113E-11</v>
      </c>
      <c r="J54" s="50">
        <f t="shared" si="22"/>
        <v>4.214757562179999E-11</v>
      </c>
      <c r="K54" s="49">
        <f t="shared" si="23"/>
        <v>5.0615154669442939E-15</v>
      </c>
      <c r="L54" s="53">
        <f t="shared" si="24"/>
        <v>0.80744330307113243</v>
      </c>
    </row>
    <row r="55" spans="1:12" x14ac:dyDescent="0.25">
      <c r="A55" s="54">
        <v>10</v>
      </c>
      <c r="B55" s="57">
        <v>21.69</v>
      </c>
      <c r="C55" s="49">
        <f>B55-B54</f>
        <v>0.63000000000000256</v>
      </c>
      <c r="D55" s="50">
        <f t="shared" si="16"/>
        <v>7.936507936507904E-4</v>
      </c>
      <c r="E55" s="50">
        <f>SQRT(2)*D55*$B$13/C55</f>
        <v>4.4539353816234681E-4</v>
      </c>
      <c r="F55" s="50">
        <f t="shared" si="18"/>
        <v>6.5382152066777289E-15</v>
      </c>
      <c r="G55" s="50">
        <f t="shared" si="19"/>
        <v>1.440708653068569E-8</v>
      </c>
      <c r="H55" s="50">
        <f t="shared" si="20"/>
        <v>1.6345538016694322E-16</v>
      </c>
      <c r="I55" s="49">
        <f t="shared" si="21"/>
        <v>1.1041940753052113E-11</v>
      </c>
      <c r="J55" s="50">
        <f t="shared" si="22"/>
        <v>4.3485593895507656E-11</v>
      </c>
      <c r="K55" s="49">
        <f t="shared" si="23"/>
        <v>5.3663701807072095E-15</v>
      </c>
      <c r="L55" s="53">
        <f t="shared" si="24"/>
        <v>0.82076989072282769</v>
      </c>
    </row>
    <row r="56" spans="1:12" x14ac:dyDescent="0.25">
      <c r="L56" s="53"/>
    </row>
    <row r="57" spans="1:12" x14ac:dyDescent="0.25">
      <c r="L57" s="53"/>
    </row>
    <row r="59" spans="1:12" x14ac:dyDescent="0.25">
      <c r="B59" s="49" t="s">
        <v>38</v>
      </c>
    </row>
    <row r="60" spans="1:12" x14ac:dyDescent="0.25">
      <c r="A60" s="50"/>
      <c r="B60" s="49" t="s">
        <v>44</v>
      </c>
      <c r="C60" s="49" t="s">
        <v>45</v>
      </c>
    </row>
    <row r="61" spans="1:12" x14ac:dyDescent="0.25">
      <c r="A61" s="49">
        <v>1</v>
      </c>
      <c r="B61" s="50">
        <f>F41</f>
        <v>1.2084105507795069E-14</v>
      </c>
      <c r="C61" s="49">
        <f>K41</f>
        <v>7.1194635750988033E-15</v>
      </c>
    </row>
    <row r="62" spans="1:12" x14ac:dyDescent="0.25">
      <c r="A62" s="49">
        <v>2</v>
      </c>
      <c r="B62" s="50">
        <f t="shared" ref="B62:B65" si="25">F42</f>
        <v>7.4336924547912894E-15</v>
      </c>
      <c r="C62" s="49">
        <f t="shared" ref="C62:C65" si="26">K42</f>
        <v>2.704699596936607E-15</v>
      </c>
    </row>
    <row r="63" spans="1:12" x14ac:dyDescent="0.25">
      <c r="A63" s="49">
        <v>3</v>
      </c>
      <c r="B63" s="50">
        <f t="shared" si="25"/>
        <v>7.4832968606899943E-15</v>
      </c>
      <c r="C63" s="49">
        <f t="shared" si="26"/>
        <v>2.7373641501360793E-15</v>
      </c>
    </row>
    <row r="64" spans="1:12" x14ac:dyDescent="0.25">
      <c r="A64" s="49">
        <v>4</v>
      </c>
      <c r="B64" s="50">
        <f t="shared" si="25"/>
        <v>6.1132371428398042E-15</v>
      </c>
      <c r="C64" s="49">
        <f t="shared" si="26"/>
        <v>1.9413761750117918E-15</v>
      </c>
    </row>
    <row r="65" spans="1:3" x14ac:dyDescent="0.25">
      <c r="A65" s="49">
        <v>5</v>
      </c>
      <c r="B65" s="50">
        <f t="shared" si="25"/>
        <v>6.8647007400708274E-15</v>
      </c>
      <c r="C65" s="49">
        <f t="shared" si="26"/>
        <v>2.3510882487594875E-15</v>
      </c>
    </row>
    <row r="66" spans="1:3" x14ac:dyDescent="0.25">
      <c r="A66" s="49">
        <v>6</v>
      </c>
      <c r="B66" s="50">
        <f>F51</f>
        <v>1.8046755488985088E-15</v>
      </c>
      <c r="C66" s="49">
        <f>K51</f>
        <v>1.2932121900630651E-15</v>
      </c>
    </row>
    <row r="67" spans="1:3" x14ac:dyDescent="0.25">
      <c r="A67" s="49">
        <v>7</v>
      </c>
      <c r="B67" s="50">
        <f t="shared" ref="B67:B70" si="27">F52</f>
        <v>6.5382152066777289E-15</v>
      </c>
      <c r="C67" s="49">
        <f t="shared" ref="C67:C70" si="28">K52</f>
        <v>5.3663701807072095E-15</v>
      </c>
    </row>
    <row r="68" spans="1:3" x14ac:dyDescent="0.25">
      <c r="A68" s="49">
        <v>8</v>
      </c>
      <c r="B68" s="50">
        <f t="shared" si="27"/>
        <v>6.2685707438437885E-15</v>
      </c>
      <c r="C68" s="49">
        <f t="shared" si="28"/>
        <v>5.0615154669442939E-15</v>
      </c>
    </row>
    <row r="69" spans="1:3" x14ac:dyDescent="0.25">
      <c r="A69" s="49">
        <v>9</v>
      </c>
      <c r="B69" s="50">
        <f t="shared" si="27"/>
        <v>6.2685707438437885E-15</v>
      </c>
      <c r="C69" s="49">
        <f t="shared" si="28"/>
        <v>5.0615154669442939E-15</v>
      </c>
    </row>
    <row r="70" spans="1:3" x14ac:dyDescent="0.25">
      <c r="A70" s="49">
        <v>10</v>
      </c>
      <c r="B70" s="50">
        <f t="shared" si="27"/>
        <v>6.5382152066777289E-15</v>
      </c>
      <c r="C70" s="49">
        <f t="shared" si="28"/>
        <v>5.3663701807072095E-15</v>
      </c>
    </row>
  </sheetData>
  <mergeCells count="2">
    <mergeCell ref="A1:C2"/>
    <mergeCell ref="A14:C15"/>
  </mergeCells>
  <conditionalFormatting sqref="C32:G36">
    <cfRule type="cellIs" dxfId="50" priority="5" operator="notBetween">
      <formula>-1.96</formula>
      <formula>1.96</formula>
    </cfRule>
  </conditionalFormatting>
  <conditionalFormatting sqref="L41:L47">
    <cfRule type="cellIs" priority="4" operator="greaterThan">
      <formula>0.04</formula>
    </cfRule>
  </conditionalFormatting>
  <conditionalFormatting sqref="L51:L57">
    <cfRule type="cellIs" priority="2" operator="greaterThan">
      <formula>0.04</formula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3" operator="greaterThan" id="{021F849D-1BF7-4B9B-A950-4036299B6D4C}">
            <xm:f>Dati!$B$14</xm:f>
            <x14:dxf>
              <fill>
                <patternFill>
                  <bgColor theme="5"/>
                </patternFill>
              </fill>
            </x14:dxf>
          </x14:cfRule>
          <xm:sqref>L41:L47</xm:sqref>
        </x14:conditionalFormatting>
        <x14:conditionalFormatting xmlns:xm="http://schemas.microsoft.com/office/excel/2006/main">
          <x14:cfRule type="cellIs" priority="1" operator="greaterThan" id="{0126DFD7-5E5A-406D-96ED-8909D4D3DB31}">
            <xm:f>Dati!$B$14</xm:f>
            <x14:dxf>
              <fill>
                <patternFill>
                  <bgColor theme="5"/>
                </patternFill>
              </fill>
            </x14:dxf>
          </x14:cfRule>
          <xm:sqref>L51:L57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workbookViewId="0">
      <selection activeCell="C23" sqref="C23"/>
    </sheetView>
  </sheetViews>
  <sheetFormatPr defaultRowHeight="15" x14ac:dyDescent="0.25"/>
  <cols>
    <col min="1" max="1" width="13.140625" style="57" customWidth="1"/>
    <col min="2" max="2" width="9.140625" style="57"/>
    <col min="3" max="5" width="12" style="57" customWidth="1"/>
    <col min="6" max="7" width="12.140625" style="57" customWidth="1"/>
    <col min="8" max="9" width="12" style="57" customWidth="1"/>
    <col min="10" max="10" width="9.140625" style="57"/>
    <col min="11" max="11" width="12" style="57" customWidth="1"/>
    <col min="12" max="16384" width="9.140625" style="57"/>
  </cols>
  <sheetData>
    <row r="1" spans="1:5" x14ac:dyDescent="0.25">
      <c r="A1" s="187" t="str">
        <f>[1]Dati!A1</f>
        <v>Costanti varie</v>
      </c>
      <c r="B1" s="187"/>
      <c r="C1" s="187"/>
    </row>
    <row r="2" spans="1:5" x14ac:dyDescent="0.25">
      <c r="A2" s="187"/>
      <c r="B2" s="187"/>
      <c r="C2" s="187"/>
    </row>
    <row r="4" spans="1:5" x14ac:dyDescent="0.25">
      <c r="B4" s="57" t="s">
        <v>1</v>
      </c>
      <c r="C4" s="57" t="s">
        <v>2</v>
      </c>
    </row>
    <row r="5" spans="1:5" x14ac:dyDescent="0.25">
      <c r="A5" s="57" t="str">
        <f>[1]Dati!A5</f>
        <v>d</v>
      </c>
      <c r="B5" s="58">
        <v>7.6</v>
      </c>
      <c r="C5" s="57">
        <f>[1]Dati!C5</f>
        <v>1.0000000000000001E-5</v>
      </c>
    </row>
    <row r="6" spans="1:5" x14ac:dyDescent="0.25">
      <c r="A6" s="57" t="str">
        <f>[1]Dati!A6</f>
        <v>g</v>
      </c>
      <c r="B6" s="57">
        <f>[1]Dati!B6</f>
        <v>9.8059999999999992</v>
      </c>
      <c r="C6" s="57">
        <f>[1]Dati!C6</f>
        <v>0</v>
      </c>
    </row>
    <row r="7" spans="1:5" x14ac:dyDescent="0.25">
      <c r="A7" s="57" t="str">
        <f>[1]Dati!A7</f>
        <v>pressione</v>
      </c>
      <c r="B7" s="57">
        <f>[1]Dati!B7</f>
        <v>101325</v>
      </c>
      <c r="C7" s="57">
        <f>[1]Dati!C7</f>
        <v>0</v>
      </c>
    </row>
    <row r="8" spans="1:5" x14ac:dyDescent="0.25">
      <c r="A8" s="57" t="str">
        <f>[1]Dati!A8</f>
        <v>densità aria</v>
      </c>
      <c r="B8" s="57">
        <v>0</v>
      </c>
      <c r="C8" s="57">
        <f>[1]Dati!C8</f>
        <v>0</v>
      </c>
    </row>
    <row r="9" spans="1:5" x14ac:dyDescent="0.25">
      <c r="A9" s="57" t="str">
        <f>[1]Dati!A9</f>
        <v>densità olio</v>
      </c>
      <c r="B9" s="57">
        <v>858.7</v>
      </c>
      <c r="C9" s="57">
        <f>[1]Dati!C9</f>
        <v>0</v>
      </c>
    </row>
    <row r="10" spans="1:5" x14ac:dyDescent="0.25">
      <c r="A10" s="57" t="str">
        <f>[1]Dati!A10</f>
        <v>cst corr vis</v>
      </c>
      <c r="B10" s="57">
        <f>[1]Dati!B10</f>
        <v>8.2000000000000007E-3</v>
      </c>
      <c r="C10" s="57">
        <f>[1]Dati!C10</f>
        <v>0</v>
      </c>
    </row>
    <row r="11" spans="1:5" x14ac:dyDescent="0.25">
      <c r="A11" s="57" t="str">
        <f>[1]Dati!A11</f>
        <v>e</v>
      </c>
      <c r="B11" s="57">
        <f>[1]Dati!B11</f>
        <v>1.6021766200000001E-19</v>
      </c>
      <c r="C11" s="57">
        <f>[1]Dati!C11</f>
        <v>0</v>
      </c>
    </row>
    <row r="12" spans="1:5" x14ac:dyDescent="0.25">
      <c r="A12" s="57" t="str">
        <f>[1]Dati!A12</f>
        <v>deltax</v>
      </c>
      <c r="B12" s="57">
        <f>[1]Dati!B12</f>
        <v>5.0000000000000001E-4</v>
      </c>
      <c r="C12" s="57">
        <f>[1]Dati!C12</f>
        <v>0</v>
      </c>
    </row>
    <row r="13" spans="1:5" x14ac:dyDescent="0.25">
      <c r="A13" s="57" t="s">
        <v>30</v>
      </c>
      <c r="B13" s="57">
        <f>Dati!B13</f>
        <v>0.25</v>
      </c>
    </row>
    <row r="14" spans="1:5" x14ac:dyDescent="0.25">
      <c r="A14" s="187" t="s">
        <v>17</v>
      </c>
      <c r="B14" s="187"/>
      <c r="C14" s="187"/>
      <c r="D14" s="60"/>
    </row>
    <row r="15" spans="1:5" x14ac:dyDescent="0.25">
      <c r="A15" s="187"/>
      <c r="B15" s="187"/>
      <c r="C15" s="187"/>
      <c r="D15" s="60"/>
    </row>
    <row r="16" spans="1:5" x14ac:dyDescent="0.25">
      <c r="A16" s="57" t="s">
        <v>18</v>
      </c>
      <c r="B16" s="57">
        <v>399</v>
      </c>
      <c r="C16" s="57">
        <f>B16/100</f>
        <v>3.99</v>
      </c>
      <c r="D16" s="57" t="s">
        <v>19</v>
      </c>
      <c r="E16" s="57">
        <f>(1.8+(B18-15)*0.004765)*0.00001</f>
        <v>1.8262075000000001E-5</v>
      </c>
    </row>
    <row r="17" spans="1:10" x14ac:dyDescent="0.25">
      <c r="A17" s="57" t="s">
        <v>20</v>
      </c>
      <c r="E17" s="59"/>
    </row>
    <row r="18" spans="1:10" x14ac:dyDescent="0.25">
      <c r="A18" s="57" t="s">
        <v>21</v>
      </c>
      <c r="B18" s="57">
        <v>20.5</v>
      </c>
      <c r="C18" s="57">
        <v>0.5</v>
      </c>
      <c r="D18" s="57" t="s">
        <v>22</v>
      </c>
      <c r="E18" s="58">
        <f>B16/B5</f>
        <v>52.5</v>
      </c>
      <c r="F18" s="57">
        <f>SQRT((C16/B5)^2+(B16*C5/B5^2)^2)</f>
        <v>0.52500000454466755</v>
      </c>
      <c r="G18" s="58"/>
    </row>
    <row r="21" spans="1:10" x14ac:dyDescent="0.25">
      <c r="B21" s="57" t="s">
        <v>23</v>
      </c>
      <c r="C21" s="57" t="s">
        <v>27</v>
      </c>
      <c r="D21" s="57" t="s">
        <v>24</v>
      </c>
      <c r="E21" s="57" t="s">
        <v>29</v>
      </c>
      <c r="F21" s="57" t="s">
        <v>25</v>
      </c>
      <c r="G21" s="57" t="s">
        <v>26</v>
      </c>
      <c r="H21" s="57" t="s">
        <v>28</v>
      </c>
      <c r="I21" s="57" t="s">
        <v>31</v>
      </c>
      <c r="J21" s="57" t="s">
        <v>32</v>
      </c>
    </row>
    <row r="22" spans="1:10" x14ac:dyDescent="0.25">
      <c r="A22" s="57">
        <v>1</v>
      </c>
      <c r="B22" s="63">
        <v>6.04</v>
      </c>
      <c r="C22" s="57">
        <f>B22</f>
        <v>6.04</v>
      </c>
      <c r="D22" s="58">
        <f>B12/B22</f>
        <v>8.2781456953642384E-5</v>
      </c>
      <c r="E22" s="58">
        <f>SQRT(2)*D22*$B$13/C22</f>
        <v>4.8456398649356635E-6</v>
      </c>
      <c r="F22" s="5">
        <f>(($B$10/(2*$B$7))^2+9*$E$16*D22/(2*$B$6*($B$9-$B$8)))^(1/2)-$B$10/(2*$B$7)</f>
        <v>8.5928396857217271E-7</v>
      </c>
      <c r="G22" s="57">
        <f>(($B$10/(2*$B$7))^2+9*$E$16*D22/(2*$B$6*($B$9-$B$8)))^(-1/2)*(9*$E$16)/(4*$B$6*$B$9)</f>
        <v>5.4234855084351876E-3</v>
      </c>
      <c r="H22" s="57">
        <f>(($B$10/(2*$B$7))^2+9*$E$16*D22/(2*$B$6*($B$9-$B$8)))^(-1/2)*((9*D22)/(4*$B$6*$B$9))*0.00000004765</f>
        <v>1.1714515536814267E-9</v>
      </c>
      <c r="I22" s="57">
        <f>SQRT(G22^2*E22^2+H22^2*$C$18^2+$F$28^2)</f>
        <v>2.7158841011844919E-8</v>
      </c>
      <c r="J22" s="58">
        <f>I22/F22</f>
        <v>3.1606362977972632E-2</v>
      </c>
    </row>
    <row r="23" spans="1:10" x14ac:dyDescent="0.25">
      <c r="A23" s="57">
        <v>2</v>
      </c>
      <c r="B23" s="63">
        <v>12.22</v>
      </c>
      <c r="C23" s="57">
        <f>B23-B22</f>
        <v>6.1800000000000006</v>
      </c>
      <c r="D23" s="58">
        <f>$B$12/(B23-B22)</f>
        <v>8.0906148867313903E-5</v>
      </c>
      <c r="E23" s="58">
        <f t="shared" ref="E23:E25" si="0">SQRT(2)*D23*$B$13/C23</f>
        <v>4.6285830504665027E-6</v>
      </c>
      <c r="F23" s="5">
        <f>(($B$10/(2*$B$7))^2+9*E16*D23/(2*$B$6*($B$9-$B$8)))^(1/2)-$B$10/(2*$B$7)</f>
        <v>8.4905511862190766E-7</v>
      </c>
      <c r="G23" s="57">
        <f t="shared" ref="G23:G27" si="1">(($B$10/(2*$B$7))^2+9*$E$16*D23/(2*$B$6*($B$9-$B$8)))^(-1/2)*(9*$E$16)/(4*$B$6*$B$9)</f>
        <v>5.4858518223472258E-3</v>
      </c>
      <c r="H23" s="57">
        <f t="shared" ref="H23:H27" si="2">(($B$10/(2*$B$7))^2+9*$E$16*D23/(2*$B$6*($B$9-$B$8)))^(-1/2)*((9*D23)/(4*$B$6*$B$9))*0.00000004765</f>
        <v>1.1580795293670513E-9</v>
      </c>
      <c r="I23" s="57">
        <f t="shared" ref="I23:I27" si="3">SQRT(G23^2*E23^2+H23^2*$C$18^2+$F$28^2)</f>
        <v>2.629985554947709E-8</v>
      </c>
      <c r="J23" s="58">
        <f t="shared" ref="J23:J27" si="4">I23/F23</f>
        <v>3.0975439606517073E-2</v>
      </c>
    </row>
    <row r="24" spans="1:10" x14ac:dyDescent="0.25">
      <c r="A24" s="57">
        <v>3</v>
      </c>
      <c r="B24" s="63">
        <v>18.23</v>
      </c>
      <c r="C24" s="57">
        <f t="shared" ref="C24:C26" si="5">B24-B23</f>
        <v>6.01</v>
      </c>
      <c r="D24" s="58">
        <f>$B$12/(B24-B23)</f>
        <v>8.3194675540765393E-5</v>
      </c>
      <c r="E24" s="58">
        <f t="shared" si="0"/>
        <v>4.8941363754983211E-6</v>
      </c>
      <c r="F24" s="5">
        <f>(($B$10/(2*$B$7))^2+9*E16*D24/(2*$B$6*($B$9-$B$8)))^(1/2)-$B$10/(2*$B$7)</f>
        <v>8.6152226948283612E-7</v>
      </c>
      <c r="G24" s="57">
        <f t="shared" si="1"/>
        <v>5.4100269947869976E-3</v>
      </c>
      <c r="H24" s="57">
        <f t="shared" si="2"/>
        <v>1.174377568799483E-9</v>
      </c>
      <c r="I24" s="57">
        <f t="shared" si="3"/>
        <v>2.7349692094952391E-8</v>
      </c>
      <c r="J24" s="58">
        <f t="shared" si="4"/>
        <v>3.174577496571291E-2</v>
      </c>
    </row>
    <row r="25" spans="1:10" x14ac:dyDescent="0.25">
      <c r="A25" s="57">
        <v>4</v>
      </c>
      <c r="B25" s="63">
        <v>24.4</v>
      </c>
      <c r="C25" s="57">
        <f t="shared" si="5"/>
        <v>6.1699999999999982</v>
      </c>
      <c r="D25" s="58">
        <f>$B$12/(B25-B24)</f>
        <v>8.1037277147487865E-5</v>
      </c>
      <c r="E25" s="58">
        <f t="shared" si="0"/>
        <v>4.6435987196014857E-6</v>
      </c>
      <c r="F25" s="5">
        <f>(($B$10/(2*$B$7))^2+9*E16*D25/(2*$B$6*($B$9-$B$8)))^(1/2)-$B$10/(2*$B$7)</f>
        <v>8.4977417830383488E-7</v>
      </c>
      <c r="G25" s="57">
        <f t="shared" si="1"/>
        <v>5.4814208109506954E-3</v>
      </c>
      <c r="H25" s="57">
        <f t="shared" si="2"/>
        <v>1.1590195659593043E-9</v>
      </c>
      <c r="I25" s="57">
        <f t="shared" si="3"/>
        <v>2.6359534808748404E-8</v>
      </c>
      <c r="J25" s="58">
        <f t="shared" si="4"/>
        <v>3.101945844172687E-2</v>
      </c>
    </row>
    <row r="26" spans="1:10" x14ac:dyDescent="0.25">
      <c r="A26" s="57">
        <v>5</v>
      </c>
      <c r="B26" s="63">
        <v>30.38</v>
      </c>
      <c r="C26" s="57">
        <f t="shared" si="5"/>
        <v>5.98</v>
      </c>
      <c r="D26" s="58">
        <f>$B$12/(B26-B25)</f>
        <v>8.361204013377926E-5</v>
      </c>
      <c r="E26" s="58">
        <f>SQRT(2)*D26*$B$13/C26</f>
        <v>4.9433645959395556E-6</v>
      </c>
      <c r="F26" s="5">
        <f>(($B$10/(2*$B$7))^2+9*E16*D26/(2*$B$6*($B$9-$B$8)))^(1/2)-$B$10/(2*$B$7)</f>
        <v>8.6377740406786669E-7</v>
      </c>
      <c r="G26" s="57">
        <f t="shared" si="1"/>
        <v>5.3965346454013545E-3</v>
      </c>
      <c r="H26" s="57">
        <f t="shared" si="2"/>
        <v>1.1773255602141616E-9</v>
      </c>
      <c r="I26" s="57">
        <f t="shared" si="3"/>
        <v>2.7543030484997695E-8</v>
      </c>
      <c r="J26" s="58">
        <f t="shared" si="4"/>
        <v>3.188672261544092E-2</v>
      </c>
    </row>
    <row r="27" spans="1:10" x14ac:dyDescent="0.25">
      <c r="A27" s="7" t="s">
        <v>34</v>
      </c>
      <c r="B27" s="7"/>
      <c r="C27" s="7">
        <f>AVERAGE(C22:C26)</f>
        <v>6.0759999999999996</v>
      </c>
      <c r="D27" s="7">
        <f>AVERAGE(D22:D26)</f>
        <v>8.2306319728597772E-5</v>
      </c>
      <c r="E27" s="8">
        <f>SQRT(2)*D27*$B$13/C27</f>
        <v>4.789282160516755E-6</v>
      </c>
      <c r="F27" s="9">
        <f>AVERAGE(F22:F26)</f>
        <v>8.5668258780972361E-7</v>
      </c>
      <c r="G27" s="7">
        <f t="shared" si="1"/>
        <v>5.4390855545453773E-3</v>
      </c>
      <c r="H27" s="7">
        <f t="shared" si="2"/>
        <v>1.1680780313668619E-9</v>
      </c>
      <c r="I27" s="7">
        <f t="shared" si="3"/>
        <v>2.6935396169606337E-8</v>
      </c>
      <c r="J27" s="8">
        <f t="shared" si="4"/>
        <v>3.1441512355786218E-2</v>
      </c>
    </row>
    <row r="28" spans="1:10" x14ac:dyDescent="0.25">
      <c r="A28" s="57" t="s">
        <v>35</v>
      </c>
      <c r="C28" s="6">
        <f>_xlfn.STDEV.S(C22:C26)</f>
        <v>9.289779329994835E-2</v>
      </c>
      <c r="D28" s="58">
        <f>_xlfn.STDEV.S(D22:D26)</f>
        <v>1.2540718402070217E-6</v>
      </c>
      <c r="E28" s="8">
        <f>SQRT(2)*D28*$B$13/C28</f>
        <v>4.7727866874205433E-6</v>
      </c>
      <c r="F28" s="58">
        <f>_xlfn.STDEV.S(F22:F26)</f>
        <v>6.8269782191180342E-9</v>
      </c>
    </row>
    <row r="30" spans="1:10" x14ac:dyDescent="0.25">
      <c r="A30" s="57" t="s">
        <v>31</v>
      </c>
      <c r="C30" s="57">
        <f t="array" ref="C30:G31">TRANSPOSE(A32:B36)</f>
        <v>2.7158841011844919E-8</v>
      </c>
      <c r="D30" s="57">
        <v>2.629985554947709E-8</v>
      </c>
      <c r="E30" s="57">
        <v>2.7349692094952391E-8</v>
      </c>
      <c r="F30" s="57">
        <v>2.6359534808748404E-8</v>
      </c>
      <c r="G30" s="57">
        <v>2.7543030484997695E-8</v>
      </c>
    </row>
    <row r="31" spans="1:10" x14ac:dyDescent="0.25">
      <c r="B31" s="57" t="s">
        <v>25</v>
      </c>
      <c r="C31" s="57">
        <v>8.5928396857217271E-7</v>
      </c>
      <c r="D31" s="57">
        <v>8.4905511862190766E-7</v>
      </c>
      <c r="E31" s="57">
        <v>8.6152226948283612E-7</v>
      </c>
      <c r="F31" s="57">
        <v>8.4977417830383488E-7</v>
      </c>
      <c r="G31" s="57">
        <v>8.6377740406786669E-7</v>
      </c>
    </row>
    <row r="32" spans="1:10" x14ac:dyDescent="0.25">
      <c r="A32" s="57">
        <f>I22</f>
        <v>2.7158841011844919E-8</v>
      </c>
      <c r="B32" s="5">
        <f>F22</f>
        <v>8.5928396857217271E-7</v>
      </c>
      <c r="C32" s="57">
        <f t="shared" ref="C32:G36" si="6">(C$31-$B32)/SQRT(C$30^2+$A32^2)</f>
        <v>0</v>
      </c>
      <c r="D32" s="57">
        <f t="shared" si="6"/>
        <v>-0.27056236269946565</v>
      </c>
      <c r="E32" s="57">
        <f t="shared" si="6"/>
        <v>5.8071937025684195E-2</v>
      </c>
      <c r="F32" s="57">
        <f t="shared" si="6"/>
        <v>-0.25126649433257858</v>
      </c>
      <c r="G32" s="57">
        <f t="shared" si="6"/>
        <v>0.11616642214097049</v>
      </c>
    </row>
    <row r="33" spans="1:12" x14ac:dyDescent="0.25">
      <c r="A33" s="57">
        <f>I23</f>
        <v>2.629985554947709E-8</v>
      </c>
      <c r="B33" s="5">
        <f>F23</f>
        <v>8.4905511862190766E-7</v>
      </c>
      <c r="C33" s="57">
        <f t="shared" si="6"/>
        <v>0.27056236269946565</v>
      </c>
      <c r="D33" s="57">
        <f t="shared" si="6"/>
        <v>0</v>
      </c>
      <c r="E33" s="57">
        <f t="shared" si="6"/>
        <v>0.32857386274052097</v>
      </c>
      <c r="F33" s="57">
        <f t="shared" si="6"/>
        <v>1.9310958489493699E-2</v>
      </c>
      <c r="G33" s="57">
        <f t="shared" si="6"/>
        <v>0.38658604350820203</v>
      </c>
    </row>
    <row r="34" spans="1:12" x14ac:dyDescent="0.25">
      <c r="A34" s="57">
        <f>I24</f>
        <v>2.7349692094952391E-8</v>
      </c>
      <c r="B34" s="5">
        <f>F24</f>
        <v>8.6152226948283612E-7</v>
      </c>
      <c r="C34" s="57">
        <f t="shared" si="6"/>
        <v>-5.8071937025684195E-2</v>
      </c>
      <c r="D34" s="57">
        <f t="shared" si="6"/>
        <v>-0.32857386274052097</v>
      </c>
      <c r="E34" s="57">
        <f t="shared" si="6"/>
        <v>0</v>
      </c>
      <c r="F34" s="57">
        <f t="shared" si="6"/>
        <v>-0.30928554023920951</v>
      </c>
      <c r="G34" s="57">
        <f t="shared" si="6"/>
        <v>5.8099179339167986E-2</v>
      </c>
    </row>
    <row r="35" spans="1:12" x14ac:dyDescent="0.25">
      <c r="A35" s="57">
        <f>I25</f>
        <v>2.6359534808748404E-8</v>
      </c>
      <c r="B35" s="5">
        <f>F25</f>
        <v>8.4977417830383488E-7</v>
      </c>
      <c r="C35" s="57">
        <f t="shared" si="6"/>
        <v>0.25126649433257858</v>
      </c>
      <c r="D35" s="57">
        <f t="shared" si="6"/>
        <v>-1.9310958489493699E-2</v>
      </c>
      <c r="E35" s="57">
        <f t="shared" si="6"/>
        <v>0.30928554023920951</v>
      </c>
      <c r="F35" s="57">
        <f t="shared" si="6"/>
        <v>0</v>
      </c>
      <c r="G35" s="57">
        <f t="shared" si="6"/>
        <v>0.36730682505579043</v>
      </c>
    </row>
    <row r="36" spans="1:12" x14ac:dyDescent="0.25">
      <c r="A36" s="57">
        <f>I26</f>
        <v>2.7543030484997695E-8</v>
      </c>
      <c r="B36" s="5">
        <f>F26</f>
        <v>8.6377740406786669E-7</v>
      </c>
      <c r="C36" s="57">
        <f t="shared" si="6"/>
        <v>-0.11616642214097049</v>
      </c>
      <c r="D36" s="57">
        <f t="shared" si="6"/>
        <v>-0.38658604350820203</v>
      </c>
      <c r="E36" s="57">
        <f t="shared" si="6"/>
        <v>-5.8099179339167986E-2</v>
      </c>
      <c r="F36" s="57">
        <f t="shared" si="6"/>
        <v>-0.36730682505579043</v>
      </c>
      <c r="G36" s="57">
        <f t="shared" si="6"/>
        <v>0</v>
      </c>
    </row>
    <row r="39" spans="1:12" x14ac:dyDescent="0.25">
      <c r="A39" s="57" t="s">
        <v>7</v>
      </c>
    </row>
    <row r="40" spans="1:12" x14ac:dyDescent="0.25">
      <c r="B40" s="57" t="s">
        <v>36</v>
      </c>
      <c r="C40" s="57" t="s">
        <v>27</v>
      </c>
      <c r="D40" s="57" t="s">
        <v>24</v>
      </c>
      <c r="E40" s="57" t="s">
        <v>29</v>
      </c>
      <c r="F40" s="57" t="s">
        <v>37</v>
      </c>
      <c r="G40" s="57" t="s">
        <v>39</v>
      </c>
      <c r="H40" s="57" t="s">
        <v>40</v>
      </c>
      <c r="I40" s="57" t="s">
        <v>41</v>
      </c>
      <c r="J40" s="57" t="s">
        <v>42</v>
      </c>
      <c r="K40" s="57" t="s">
        <v>2</v>
      </c>
      <c r="L40" s="57" t="s">
        <v>43</v>
      </c>
    </row>
    <row r="41" spans="1:12" x14ac:dyDescent="0.25">
      <c r="A41" s="62">
        <v>1</v>
      </c>
      <c r="B41" s="64">
        <v>31.34</v>
      </c>
      <c r="C41" s="57">
        <f>B41-B26</f>
        <v>0.96000000000000085</v>
      </c>
      <c r="D41" s="58">
        <f>$B$12/C41</f>
        <v>5.2083333333333289E-4</v>
      </c>
      <c r="E41" s="58">
        <f>SQRT(2)*D41*$B$13/C41</f>
        <v>1.918149905562463E-4</v>
      </c>
      <c r="F41" s="58">
        <f>(4*PI()/3)*$F$27^3*($B$9-$B$8)*($B$6/$E$18)*(1+ABS(D41)/$D$27)</f>
        <v>3.0953315635570561E-15</v>
      </c>
      <c r="G41" s="58">
        <f>F41*3/$F$27</f>
        <v>1.0839481066625421E-8</v>
      </c>
      <c r="H41" s="58">
        <f>F41/$E$18</f>
        <v>5.8958696448705829E-17</v>
      </c>
      <c r="I41" s="57">
        <f>(4*PI()/3)*$F$27^3*($B$9-$B$8)*($B$6/$E$18)*(1/$D$27)</f>
        <v>5.1320312764102515E-12</v>
      </c>
      <c r="J41" s="58">
        <f>(4*PI()/3)*$F$27^3*($B$9-$B$8)*($B$6/$E$18)*(ABS(D41)/$D$27^2)</f>
        <v>3.2475427953498276E-11</v>
      </c>
      <c r="K41" s="57">
        <f>SQRT(G41^2*$I$27^2+H41^2*$F$18^2+I41^2*E41^2+J41^2*$E$28^2)</f>
        <v>1.0388796670435565E-15</v>
      </c>
      <c r="L41" s="61">
        <f>K41/F41</f>
        <v>0.33562791116623036</v>
      </c>
    </row>
    <row r="42" spans="1:12" x14ac:dyDescent="0.25">
      <c r="A42" s="62">
        <v>2</v>
      </c>
      <c r="B42" s="64">
        <v>32.24</v>
      </c>
      <c r="C42" s="57">
        <f>B42-B41</f>
        <v>0.90000000000000213</v>
      </c>
      <c r="D42" s="58">
        <f t="shared" ref="D42:D45" si="7">$B$12/C42</f>
        <v>5.5555555555555425E-4</v>
      </c>
      <c r="E42" s="58">
        <f t="shared" ref="E42:E44" si="8">SQRT(2)*D42*$B$13/C42</f>
        <v>2.1824283369955069E-4</v>
      </c>
      <c r="F42" s="58">
        <f t="shared" ref="F42:F45" si="9">(4*PI()/3)*$F$27^3*($B$9-$B$8)*($B$6/$E$18)*(1+ABS(D42)/$D$27)</f>
        <v>3.2735270939879635E-15</v>
      </c>
      <c r="G42" s="58">
        <f t="shared" ref="G42:G45" si="10">F42*3/$F$27</f>
        <v>1.1463500509648649E-8</v>
      </c>
      <c r="H42" s="58">
        <f t="shared" ref="H42:H45" si="11">F42/$E$18</f>
        <v>6.2352897028342161E-17</v>
      </c>
      <c r="I42" s="57">
        <f t="shared" ref="I42:I45" si="12">(4*PI()/3)*$F$27^3*($B$9-$B$8)*($B$6/$E$18)*(1/$D$27)</f>
        <v>5.1320312764102515E-12</v>
      </c>
      <c r="J42" s="58">
        <f t="shared" ref="J42:J45" si="13">(4*PI()/3)*$F$27^3*($B$9-$B$8)*($B$6/$E$18)*(ABS(D42)/$D$27^2)</f>
        <v>3.4640456483731443E-11</v>
      </c>
      <c r="K42" s="57">
        <f t="shared" ref="K42:K45" si="14">SQRT(G42^2*$I$27^2+H42^2*$F$18^2+I42^2*E42^2+J42^2*$E$28^2)</f>
        <v>1.1739729612420687E-15</v>
      </c>
      <c r="L42" s="61">
        <f t="shared" ref="L42:L45" si="15">K42/F42</f>
        <v>0.35862631575530357</v>
      </c>
    </row>
    <row r="43" spans="1:12" x14ac:dyDescent="0.25">
      <c r="A43" s="62">
        <v>3</v>
      </c>
      <c r="B43" s="64">
        <v>33.15</v>
      </c>
      <c r="C43" s="57">
        <f>B43-B42</f>
        <v>0.90999999999999659</v>
      </c>
      <c r="D43" s="58">
        <f t="shared" si="7"/>
        <v>5.4945054945055151E-4</v>
      </c>
      <c r="E43" s="58">
        <f t="shared" si="8"/>
        <v>2.1347264255118734E-4</v>
      </c>
      <c r="F43" s="58">
        <f t="shared" si="9"/>
        <v>3.2421960117144141E-15</v>
      </c>
      <c r="G43" s="58">
        <f t="shared" si="10"/>
        <v>1.1353782805380888E-8</v>
      </c>
      <c r="H43" s="58">
        <f t="shared" si="11"/>
        <v>6.1756114508845982E-17</v>
      </c>
      <c r="I43" s="57">
        <f t="shared" si="12"/>
        <v>5.1320312764102515E-12</v>
      </c>
      <c r="J43" s="58">
        <f t="shared" si="13"/>
        <v>3.425979212676757E-11</v>
      </c>
      <c r="K43" s="57">
        <f t="shared" si="14"/>
        <v>1.1495822298693376E-15</v>
      </c>
      <c r="L43" s="61">
        <f t="shared" si="15"/>
        <v>0.35456900992900164</v>
      </c>
    </row>
    <row r="44" spans="1:12" x14ac:dyDescent="0.25">
      <c r="A44" s="62">
        <v>4</v>
      </c>
      <c r="B44" s="64">
        <v>34.130000000000003</v>
      </c>
      <c r="C44" s="57">
        <f>B44-B43</f>
        <v>0.98000000000000398</v>
      </c>
      <c r="D44" s="58">
        <f t="shared" si="7"/>
        <v>5.1020408163265105E-4</v>
      </c>
      <c r="E44" s="58">
        <f t="shared" si="8"/>
        <v>1.8406569689362293E-4</v>
      </c>
      <c r="F44" s="58">
        <f t="shared" si="9"/>
        <v>3.0407819113843205E-15</v>
      </c>
      <c r="G44" s="58">
        <f t="shared" si="10"/>
        <v>1.0648454706516238E-8</v>
      </c>
      <c r="H44" s="58">
        <f t="shared" si="11"/>
        <v>5.7919655454939437E-17</v>
      </c>
      <c r="I44" s="57">
        <f t="shared" si="12"/>
        <v>5.1320312764102515E-12</v>
      </c>
      <c r="J44" s="58">
        <f t="shared" si="13"/>
        <v>3.1812664117712497E-11</v>
      </c>
      <c r="K44" s="57">
        <f t="shared" si="14"/>
        <v>9.992857420703468E-16</v>
      </c>
      <c r="L44" s="61">
        <f t="shared" si="15"/>
        <v>0.32862788953365635</v>
      </c>
    </row>
    <row r="45" spans="1:12" x14ac:dyDescent="0.25">
      <c r="A45" s="62">
        <v>5</v>
      </c>
      <c r="B45" s="64">
        <v>35.22</v>
      </c>
      <c r="C45" s="57">
        <f>B45-B44</f>
        <v>1.0899999999999963</v>
      </c>
      <c r="D45" s="58">
        <f t="shared" si="7"/>
        <v>4.5871559633027677E-4</v>
      </c>
      <c r="E45" s="58">
        <f>SQRT(2)*D45*$B$13/C45</f>
        <v>1.487894077069591E-4</v>
      </c>
      <c r="F45" s="58">
        <f t="shared" si="9"/>
        <v>2.7765413944375462E-15</v>
      </c>
      <c r="G45" s="58">
        <f t="shared" si="10"/>
        <v>9.7231160080058951E-9</v>
      </c>
      <c r="H45" s="58">
        <f t="shared" si="11"/>
        <v>5.2886502751191354E-17</v>
      </c>
      <c r="I45" s="57">
        <f t="shared" si="12"/>
        <v>5.1320312764102515E-12</v>
      </c>
      <c r="J45" s="58">
        <f t="shared" si="13"/>
        <v>2.8602211775558232E-11</v>
      </c>
      <c r="K45" s="57">
        <f t="shared" si="14"/>
        <v>8.1918776838927187E-16</v>
      </c>
      <c r="L45" s="61">
        <f t="shared" si="15"/>
        <v>0.29503891785312913</v>
      </c>
    </row>
    <row r="46" spans="1:12" x14ac:dyDescent="0.25">
      <c r="L46" s="61"/>
    </row>
    <row r="47" spans="1:12" x14ac:dyDescent="0.25">
      <c r="L47" s="61"/>
    </row>
    <row r="49" spans="1:12" x14ac:dyDescent="0.25">
      <c r="A49" s="57" t="s">
        <v>7</v>
      </c>
    </row>
    <row r="50" spans="1:12" x14ac:dyDescent="0.25">
      <c r="B50" s="57" t="s">
        <v>23</v>
      </c>
      <c r="C50" s="57" t="s">
        <v>27</v>
      </c>
      <c r="D50" s="57" t="s">
        <v>24</v>
      </c>
      <c r="E50" s="57" t="s">
        <v>29</v>
      </c>
      <c r="F50" s="57" t="s">
        <v>37</v>
      </c>
      <c r="G50" s="57" t="s">
        <v>39</v>
      </c>
      <c r="H50" s="57" t="s">
        <v>40</v>
      </c>
      <c r="I50" s="57" t="s">
        <v>41</v>
      </c>
      <c r="J50" s="57" t="s">
        <v>42</v>
      </c>
      <c r="K50" s="57" t="s">
        <v>2</v>
      </c>
      <c r="L50" s="57" t="s">
        <v>43</v>
      </c>
    </row>
    <row r="51" spans="1:12" x14ac:dyDescent="0.25">
      <c r="A51" s="62">
        <v>6</v>
      </c>
      <c r="B51" s="65">
        <v>35.97</v>
      </c>
      <c r="C51" s="57">
        <f>B51-B45</f>
        <v>0.75</v>
      </c>
      <c r="D51" s="58">
        <f>$B$12/C51</f>
        <v>6.6666666666666664E-4</v>
      </c>
      <c r="E51" s="58">
        <f>SQRT(2)*D51*$B$13/C51</f>
        <v>3.1426968052735446E-4</v>
      </c>
      <c r="F51" s="58">
        <f>-(4*PI()/3)*$F$27^3*($B$9-$B$8)*($B$6/$E$18)*(1-ABS(D51)/$D$27)</f>
        <v>2.9989555771801155E-15</v>
      </c>
      <c r="G51" s="58">
        <f>F51*3/$F$27</f>
        <v>1.0501983884769496E-8</v>
      </c>
      <c r="H51" s="58">
        <f>F51/$E$18</f>
        <v>5.7122963374859342E-17</v>
      </c>
      <c r="I51" s="57">
        <f>-(4*PI()/3)*$F$27^3*($B$9-$B$8)*($B$6/$E$18)*(-1/$D$27)</f>
        <v>5.1320312764102515E-12</v>
      </c>
      <c r="J51" s="58">
        <f>-(4*PI()/3)*$F$27^3*($B$9-$B$8)*($B$6/$E$18)*(-ABS(D51)/$D$27^2)</f>
        <v>4.1568547780477827E-11</v>
      </c>
      <c r="K51" s="57">
        <f>SQRT(G51^2*$I$27^2+H51^2*$F$18^2+I51^2*E51^2+J51^2*$E$28^2)</f>
        <v>1.6497085054323104E-15</v>
      </c>
      <c r="L51" s="61">
        <f>K51/F51</f>
        <v>0.55009434550661562</v>
      </c>
    </row>
    <row r="52" spans="1:12" x14ac:dyDescent="0.25">
      <c r="A52" s="62">
        <v>7</v>
      </c>
      <c r="B52" s="65">
        <v>36.76</v>
      </c>
      <c r="C52" s="57">
        <f>B52-B51</f>
        <v>0.78999999999999915</v>
      </c>
      <c r="D52" s="58">
        <f t="shared" ref="D52:D55" si="16">$B$12/C52</f>
        <v>6.3291139240506395E-4</v>
      </c>
      <c r="E52" s="58">
        <f t="shared" ref="E52:E54" si="17">SQRT(2)*D52*$B$13/C52</f>
        <v>2.8325059332901339E-4</v>
      </c>
      <c r="F52" s="58">
        <f t="shared" ref="F52:F55" si="18">-(4*PI()/3)*$F$27^3*($B$9-$B$8)*($B$6/$E$18)*(1-ABS(D52)/$D$27)</f>
        <v>2.825722453925764E-15</v>
      </c>
      <c r="G52" s="58">
        <f t="shared" ref="G52:G55" si="19">F52*3/$F$27</f>
        <v>9.8953421983874165E-9</v>
      </c>
      <c r="H52" s="58">
        <f t="shared" ref="H52:H55" si="20">F52/$E$18</f>
        <v>5.382328483668122E-17</v>
      </c>
      <c r="I52" s="57">
        <f t="shared" ref="I52:I55" si="21">-(4*PI()/3)*$F$27^3*($B$9-$B$8)*($B$6/$E$18)*(-1/$D$27)</f>
        <v>5.1320312764102515E-12</v>
      </c>
      <c r="J52" s="58">
        <f t="shared" ref="J52:J55" si="22">-(4*PI()/3)*$F$27^3*($B$9-$B$8)*($B$6/$E$18)*(-ABS(D52)/$D$27^2)</f>
        <v>3.9463811183997973E-11</v>
      </c>
      <c r="K52" s="57">
        <f t="shared" ref="K52:K55" si="23">SQRT(G52^2*$I$27^2+H52^2*$F$18^2+I52^2*E52^2+J52^2*$E$28^2)</f>
        <v>1.4901063440011961E-15</v>
      </c>
      <c r="L52" s="61">
        <f t="shared" ref="L52:L55" si="24">K52/F52</f>
        <v>0.52733641335899706</v>
      </c>
    </row>
    <row r="53" spans="1:12" x14ac:dyDescent="0.25">
      <c r="A53" s="62">
        <v>8</v>
      </c>
      <c r="B53" s="65">
        <v>37.53</v>
      </c>
      <c r="C53" s="57">
        <f>B53-B52</f>
        <v>0.77000000000000313</v>
      </c>
      <c r="D53" s="58">
        <f t="shared" si="16"/>
        <v>6.4935064935064675E-4</v>
      </c>
      <c r="E53" s="58">
        <f t="shared" si="17"/>
        <v>2.9815600488553799E-4</v>
      </c>
      <c r="F53" s="58">
        <f t="shared" si="18"/>
        <v>2.9100892347314395E-15</v>
      </c>
      <c r="G53" s="58">
        <f t="shared" si="19"/>
        <v>1.0190784578118897E-8</v>
      </c>
      <c r="H53" s="58">
        <f t="shared" si="20"/>
        <v>5.5430271137741706E-17</v>
      </c>
      <c r="I53" s="57">
        <f t="shared" si="21"/>
        <v>5.1320312764102515E-12</v>
      </c>
      <c r="J53" s="58">
        <f t="shared" si="22"/>
        <v>4.048884524072499E-11</v>
      </c>
      <c r="K53" s="57">
        <f t="shared" si="23"/>
        <v>1.5668067075060645E-15</v>
      </c>
      <c r="L53" s="61">
        <f t="shared" si="24"/>
        <v>0.53840503885808122</v>
      </c>
    </row>
    <row r="54" spans="1:12" x14ac:dyDescent="0.25">
      <c r="A54" s="62">
        <v>9</v>
      </c>
      <c r="B54" s="65">
        <v>38.26</v>
      </c>
      <c r="C54" s="57">
        <f>B54-B53</f>
        <v>0.72999999999999687</v>
      </c>
      <c r="D54" s="58">
        <f t="shared" si="16"/>
        <v>6.84931506849318E-4</v>
      </c>
      <c r="E54" s="58">
        <f t="shared" si="17"/>
        <v>3.3172583091881856E-4</v>
      </c>
      <c r="F54" s="58">
        <f t="shared" si="18"/>
        <v>3.0926913082561168E-15</v>
      </c>
      <c r="G54" s="58">
        <f t="shared" si="19"/>
        <v>1.0830235208222872E-8</v>
      </c>
      <c r="H54" s="58">
        <f t="shared" si="20"/>
        <v>5.8908405871545086E-17</v>
      </c>
      <c r="I54" s="57">
        <f t="shared" si="21"/>
        <v>5.1320312764102515E-12</v>
      </c>
      <c r="J54" s="58">
        <f t="shared" si="22"/>
        <v>4.2707412103230821E-11</v>
      </c>
      <c r="K54" s="57">
        <f t="shared" si="23"/>
        <v>1.7395004975707386E-15</v>
      </c>
      <c r="L54" s="61">
        <f t="shared" si="24"/>
        <v>0.56245526119177891</v>
      </c>
    </row>
    <row r="55" spans="1:12" x14ac:dyDescent="0.25">
      <c r="A55" s="62">
        <v>10</v>
      </c>
      <c r="B55" s="65">
        <v>38.97</v>
      </c>
      <c r="C55" s="57">
        <f>B55-B54</f>
        <v>0.71000000000000085</v>
      </c>
      <c r="D55" s="58">
        <f t="shared" si="16"/>
        <v>7.0422535211267523E-4</v>
      </c>
      <c r="E55" s="58">
        <f>SQRT(2)*D55*$B$13/C55</f>
        <v>3.5067783236785647E-4</v>
      </c>
      <c r="F55" s="58">
        <f t="shared" si="18"/>
        <v>3.1917079255898857E-15</v>
      </c>
      <c r="G55" s="58">
        <f t="shared" si="19"/>
        <v>1.1176979563983355E-8</v>
      </c>
      <c r="H55" s="58">
        <f t="shared" si="20"/>
        <v>6.0794436677902585E-17</v>
      </c>
      <c r="I55" s="57">
        <f t="shared" si="21"/>
        <v>5.1320312764102515E-12</v>
      </c>
      <c r="J55" s="58">
        <f t="shared" si="22"/>
        <v>4.3910437796279342E-11</v>
      </c>
      <c r="K55" s="57">
        <f t="shared" si="23"/>
        <v>1.8369698020521005E-15</v>
      </c>
      <c r="L55" s="61">
        <f t="shared" si="24"/>
        <v>0.57554445609636884</v>
      </c>
    </row>
    <row r="56" spans="1:12" x14ac:dyDescent="0.25">
      <c r="L56" s="61"/>
    </row>
    <row r="57" spans="1:12" x14ac:dyDescent="0.25">
      <c r="L57" s="61"/>
    </row>
    <row r="59" spans="1:12" x14ac:dyDescent="0.25">
      <c r="B59" s="57" t="s">
        <v>38</v>
      </c>
    </row>
    <row r="60" spans="1:12" x14ac:dyDescent="0.25">
      <c r="A60" s="58"/>
      <c r="B60" s="57" t="s">
        <v>44</v>
      </c>
      <c r="C60" s="57" t="s">
        <v>45</v>
      </c>
    </row>
    <row r="61" spans="1:12" x14ac:dyDescent="0.25">
      <c r="A61" s="57">
        <v>1</v>
      </c>
      <c r="B61" s="58">
        <f>F41</f>
        <v>3.0953315635570561E-15</v>
      </c>
      <c r="C61" s="57">
        <f>K41</f>
        <v>1.0388796670435565E-15</v>
      </c>
    </row>
    <row r="62" spans="1:12" x14ac:dyDescent="0.25">
      <c r="A62" s="57">
        <v>2</v>
      </c>
      <c r="B62" s="58">
        <f t="shared" ref="B62:B65" si="25">F42</f>
        <v>3.2735270939879635E-15</v>
      </c>
      <c r="C62" s="57">
        <f t="shared" ref="C62:C65" si="26">K42</f>
        <v>1.1739729612420687E-15</v>
      </c>
    </row>
    <row r="63" spans="1:12" x14ac:dyDescent="0.25">
      <c r="A63" s="57">
        <v>3</v>
      </c>
      <c r="B63" s="58">
        <f t="shared" si="25"/>
        <v>3.2421960117144141E-15</v>
      </c>
      <c r="C63" s="57">
        <f t="shared" si="26"/>
        <v>1.1495822298693376E-15</v>
      </c>
    </row>
    <row r="64" spans="1:12" x14ac:dyDescent="0.25">
      <c r="A64" s="57">
        <v>4</v>
      </c>
      <c r="B64" s="58">
        <f t="shared" si="25"/>
        <v>3.0407819113843205E-15</v>
      </c>
      <c r="C64" s="57">
        <f t="shared" si="26"/>
        <v>9.992857420703468E-16</v>
      </c>
    </row>
    <row r="65" spans="1:3" x14ac:dyDescent="0.25">
      <c r="A65" s="57">
        <v>5</v>
      </c>
      <c r="B65" s="58">
        <f t="shared" si="25"/>
        <v>2.7765413944375462E-15</v>
      </c>
      <c r="C65" s="57">
        <f t="shared" si="26"/>
        <v>8.1918776838927187E-16</v>
      </c>
    </row>
    <row r="66" spans="1:3" x14ac:dyDescent="0.25">
      <c r="A66" s="57">
        <v>6</v>
      </c>
      <c r="B66" s="58">
        <f>F51</f>
        <v>2.9989555771801155E-15</v>
      </c>
      <c r="C66" s="57">
        <f>K51</f>
        <v>1.6497085054323104E-15</v>
      </c>
    </row>
    <row r="67" spans="1:3" x14ac:dyDescent="0.25">
      <c r="A67" s="57">
        <v>7</v>
      </c>
      <c r="B67" s="58">
        <f t="shared" ref="B67:B70" si="27">F52</f>
        <v>2.825722453925764E-15</v>
      </c>
      <c r="C67" s="57">
        <f t="shared" ref="C67:C70" si="28">K52</f>
        <v>1.4901063440011961E-15</v>
      </c>
    </row>
    <row r="68" spans="1:3" x14ac:dyDescent="0.25">
      <c r="A68" s="57">
        <v>8</v>
      </c>
      <c r="B68" s="58">
        <f t="shared" si="27"/>
        <v>2.9100892347314395E-15</v>
      </c>
      <c r="C68" s="57">
        <f t="shared" si="28"/>
        <v>1.5668067075060645E-15</v>
      </c>
    </row>
    <row r="69" spans="1:3" x14ac:dyDescent="0.25">
      <c r="A69" s="57">
        <v>9</v>
      </c>
      <c r="B69" s="58">
        <f t="shared" si="27"/>
        <v>3.0926913082561168E-15</v>
      </c>
      <c r="C69" s="57">
        <f t="shared" si="28"/>
        <v>1.7395004975707386E-15</v>
      </c>
    </row>
    <row r="70" spans="1:3" x14ac:dyDescent="0.25">
      <c r="A70" s="57">
        <v>10</v>
      </c>
      <c r="B70" s="58">
        <f t="shared" si="27"/>
        <v>3.1917079255898857E-15</v>
      </c>
      <c r="C70" s="57">
        <f t="shared" si="28"/>
        <v>1.8369698020521005E-15</v>
      </c>
    </row>
  </sheetData>
  <mergeCells count="2">
    <mergeCell ref="A1:C2"/>
    <mergeCell ref="A14:C15"/>
  </mergeCells>
  <conditionalFormatting sqref="C32:G36">
    <cfRule type="cellIs" dxfId="47" priority="5" operator="notBetween">
      <formula>-1.96</formula>
      <formula>1.96</formula>
    </cfRule>
  </conditionalFormatting>
  <conditionalFormatting sqref="L41:L47">
    <cfRule type="cellIs" priority="4" operator="greaterThan">
      <formula>0.04</formula>
    </cfRule>
  </conditionalFormatting>
  <conditionalFormatting sqref="L51:L57">
    <cfRule type="cellIs" priority="2" operator="greaterThan">
      <formula>0.04</formula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3" operator="greaterThan" id="{D2EBC669-9031-4C54-B039-745092982F44}">
            <xm:f>Dati!$B$14</xm:f>
            <x14:dxf>
              <fill>
                <patternFill>
                  <bgColor theme="5"/>
                </patternFill>
              </fill>
            </x14:dxf>
          </x14:cfRule>
          <xm:sqref>L41:L47</xm:sqref>
        </x14:conditionalFormatting>
        <x14:conditionalFormatting xmlns:xm="http://schemas.microsoft.com/office/excel/2006/main">
          <x14:cfRule type="cellIs" priority="1" operator="greaterThan" id="{6BBA8A46-28D3-4651-AA7C-9234AE3A6A74}">
            <xm:f>Dati!$B$14</xm:f>
            <x14:dxf>
              <fill>
                <patternFill>
                  <bgColor theme="5"/>
                </patternFill>
              </fill>
            </x14:dxf>
          </x14:cfRule>
          <xm:sqref>L51:L57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topLeftCell="A10" workbookViewId="0">
      <selection activeCell="C24" sqref="C24"/>
    </sheetView>
  </sheetViews>
  <sheetFormatPr defaultRowHeight="15" x14ac:dyDescent="0.25"/>
  <cols>
    <col min="1" max="1" width="13.140625" style="65" customWidth="1"/>
    <col min="2" max="2" width="9.140625" style="65"/>
    <col min="3" max="5" width="12" style="65" customWidth="1"/>
    <col min="6" max="7" width="12.140625" style="65" customWidth="1"/>
    <col min="8" max="9" width="12" style="65" customWidth="1"/>
    <col min="10" max="10" width="9.140625" style="65"/>
    <col min="11" max="11" width="12" style="65" customWidth="1"/>
    <col min="12" max="16384" width="9.140625" style="65"/>
  </cols>
  <sheetData>
    <row r="1" spans="1:5" x14ac:dyDescent="0.25">
      <c r="A1" s="187" t="str">
        <f>[1]Dati!A1</f>
        <v>Costanti varie</v>
      </c>
      <c r="B1" s="187"/>
      <c r="C1" s="187"/>
    </row>
    <row r="2" spans="1:5" x14ac:dyDescent="0.25">
      <c r="A2" s="187"/>
      <c r="B2" s="187"/>
      <c r="C2" s="187"/>
    </row>
    <row r="4" spans="1:5" x14ac:dyDescent="0.25">
      <c r="B4" s="65" t="s">
        <v>1</v>
      </c>
      <c r="C4" s="65" t="s">
        <v>2</v>
      </c>
    </row>
    <row r="5" spans="1:5" x14ac:dyDescent="0.25">
      <c r="A5" s="65" t="str">
        <f>[1]Dati!A5</f>
        <v>d</v>
      </c>
      <c r="B5" s="66">
        <v>7.6</v>
      </c>
      <c r="C5" s="65">
        <f>[1]Dati!C5</f>
        <v>1.0000000000000001E-5</v>
      </c>
    </row>
    <row r="6" spans="1:5" x14ac:dyDescent="0.25">
      <c r="A6" s="65" t="str">
        <f>[1]Dati!A6</f>
        <v>g</v>
      </c>
      <c r="B6" s="65">
        <f>[1]Dati!B6</f>
        <v>9.8059999999999992</v>
      </c>
      <c r="C6" s="65">
        <f>[1]Dati!C6</f>
        <v>0</v>
      </c>
    </row>
    <row r="7" spans="1:5" x14ac:dyDescent="0.25">
      <c r="A7" s="65" t="str">
        <f>[1]Dati!A7</f>
        <v>pressione</v>
      </c>
      <c r="B7" s="65">
        <f>[1]Dati!B7</f>
        <v>101325</v>
      </c>
      <c r="C7" s="65">
        <f>[1]Dati!C7</f>
        <v>0</v>
      </c>
    </row>
    <row r="8" spans="1:5" x14ac:dyDescent="0.25">
      <c r="A8" s="65" t="str">
        <f>[1]Dati!A8</f>
        <v>densità aria</v>
      </c>
      <c r="B8" s="65">
        <v>0</v>
      </c>
      <c r="C8" s="65">
        <f>[1]Dati!C8</f>
        <v>0</v>
      </c>
    </row>
    <row r="9" spans="1:5" x14ac:dyDescent="0.25">
      <c r="A9" s="65" t="str">
        <f>[1]Dati!A9</f>
        <v>densità olio</v>
      </c>
      <c r="B9" s="65">
        <v>858.7</v>
      </c>
      <c r="C9" s="65">
        <f>[1]Dati!C9</f>
        <v>0</v>
      </c>
    </row>
    <row r="10" spans="1:5" x14ac:dyDescent="0.25">
      <c r="A10" s="65" t="str">
        <f>[1]Dati!A10</f>
        <v>cst corr vis</v>
      </c>
      <c r="B10" s="65">
        <f>[1]Dati!B10</f>
        <v>8.2000000000000007E-3</v>
      </c>
      <c r="C10" s="65">
        <f>[1]Dati!C10</f>
        <v>0</v>
      </c>
    </row>
    <row r="11" spans="1:5" x14ac:dyDescent="0.25">
      <c r="A11" s="65" t="str">
        <f>[1]Dati!A11</f>
        <v>e</v>
      </c>
      <c r="B11" s="65">
        <f>[1]Dati!B11</f>
        <v>1.6021766200000001E-19</v>
      </c>
      <c r="C11" s="65">
        <f>[1]Dati!C11</f>
        <v>0</v>
      </c>
    </row>
    <row r="12" spans="1:5" x14ac:dyDescent="0.25">
      <c r="A12" s="65" t="str">
        <f>[1]Dati!A12</f>
        <v>deltax</v>
      </c>
      <c r="B12" s="65">
        <f>[1]Dati!B12</f>
        <v>5.0000000000000001E-4</v>
      </c>
      <c r="C12" s="65">
        <f>[1]Dati!C12</f>
        <v>0</v>
      </c>
    </row>
    <row r="13" spans="1:5" x14ac:dyDescent="0.25">
      <c r="A13" s="65" t="s">
        <v>30</v>
      </c>
      <c r="B13" s="65">
        <f>Dati!B13</f>
        <v>0.25</v>
      </c>
    </row>
    <row r="14" spans="1:5" x14ac:dyDescent="0.25">
      <c r="A14" s="187" t="s">
        <v>17</v>
      </c>
      <c r="B14" s="187"/>
      <c r="C14" s="187"/>
      <c r="D14" s="68"/>
    </row>
    <row r="15" spans="1:5" x14ac:dyDescent="0.25">
      <c r="A15" s="187"/>
      <c r="B15" s="187"/>
      <c r="C15" s="187"/>
      <c r="D15" s="68"/>
    </row>
    <row r="16" spans="1:5" x14ac:dyDescent="0.25">
      <c r="A16" s="65" t="s">
        <v>18</v>
      </c>
      <c r="B16" s="65">
        <v>399</v>
      </c>
      <c r="C16" s="65">
        <f>B16/100</f>
        <v>3.99</v>
      </c>
      <c r="D16" s="65" t="s">
        <v>19</v>
      </c>
      <c r="E16" s="65">
        <f>(1.8+(B18-15)*0.004765)*0.00001</f>
        <v>1.8262075000000001E-5</v>
      </c>
    </row>
    <row r="17" spans="1:10" x14ac:dyDescent="0.25">
      <c r="A17" s="65" t="s">
        <v>20</v>
      </c>
      <c r="E17" s="67"/>
    </row>
    <row r="18" spans="1:10" x14ac:dyDescent="0.25">
      <c r="A18" s="65" t="s">
        <v>21</v>
      </c>
      <c r="B18" s="65">
        <v>20.5</v>
      </c>
      <c r="C18" s="65">
        <v>0.5</v>
      </c>
      <c r="D18" s="65" t="s">
        <v>22</v>
      </c>
      <c r="E18" s="66">
        <f>B16/B5</f>
        <v>52.5</v>
      </c>
      <c r="F18" s="65">
        <f>SQRT((C16/B5)^2+(B16*C5/B5^2)^2)</f>
        <v>0.52500000454466755</v>
      </c>
      <c r="G18" s="66"/>
    </row>
    <row r="21" spans="1:10" x14ac:dyDescent="0.25">
      <c r="B21" s="65" t="s">
        <v>23</v>
      </c>
      <c r="C21" s="65" t="s">
        <v>27</v>
      </c>
      <c r="D21" s="65" t="s">
        <v>24</v>
      </c>
      <c r="E21" s="65" t="s">
        <v>29</v>
      </c>
      <c r="F21" s="65" t="s">
        <v>25</v>
      </c>
      <c r="G21" s="65" t="s">
        <v>26</v>
      </c>
      <c r="H21" s="65" t="s">
        <v>28</v>
      </c>
      <c r="I21" s="65" t="s">
        <v>31</v>
      </c>
      <c r="J21" s="65" t="s">
        <v>32</v>
      </c>
    </row>
    <row r="22" spans="1:10" x14ac:dyDescent="0.25">
      <c r="A22" s="65">
        <v>1</v>
      </c>
      <c r="B22" s="71">
        <v>16.77</v>
      </c>
      <c r="C22" s="65">
        <f>B22</f>
        <v>16.77</v>
      </c>
      <c r="D22" s="66">
        <f>B12/B22</f>
        <v>2.9815146094215862E-5</v>
      </c>
      <c r="E22" s="66">
        <f>SQRT(2)*D22*$B$13/C22</f>
        <v>6.2857757857148612E-7</v>
      </c>
      <c r="F22" s="5">
        <f>(($B$10/(2*$B$7))^2+9*$E$16*D22/(2*$B$6*($B$9-$B$8)))^(1/2)-$B$10/(2*$B$7)</f>
        <v>5.0047920337477117E-7</v>
      </c>
      <c r="G22" s="65">
        <f>(($B$10/(2*$B$7))^2+9*$E$16*D22/(2*$B$6*($B$9-$B$8)))^(-1/2)*(9*$E$16)/(4*$B$6*$B$9)</f>
        <v>9.0208557271825428E-3</v>
      </c>
      <c r="H22" s="65">
        <f>(($B$10/(2*$B$7))^2+9*$E$16*D22/(2*$B$6*($B$9-$B$8)))^(-1/2)*((9*D22)/(4*$B$6*$B$9))*0.00000004765</f>
        <v>7.0177430337175307E-10</v>
      </c>
      <c r="I22" s="65">
        <f>SQRT(G22^2*E22^2+H22^2*$C$18^2+$F$28^2)</f>
        <v>1.5620358552863426E-8</v>
      </c>
      <c r="J22" s="66">
        <f>I22/F22</f>
        <v>3.1210804460073672E-2</v>
      </c>
    </row>
    <row r="23" spans="1:10" x14ac:dyDescent="0.25">
      <c r="A23" s="65">
        <v>2</v>
      </c>
      <c r="B23" s="71">
        <v>33.35</v>
      </c>
      <c r="C23" s="65">
        <f>B23-B22</f>
        <v>16.580000000000002</v>
      </c>
      <c r="D23" s="66">
        <f>$B$12/(B23-B22)</f>
        <v>3.0156815440289501E-5</v>
      </c>
      <c r="E23" s="66">
        <f t="shared" ref="E23:E25" si="0">SQRT(2)*D23*$B$13/C23</f>
        <v>6.4306660726236086E-7</v>
      </c>
      <c r="F23" s="5">
        <f>(($B$10/(2*$B$7))^2+9*E16*D23/(2*$B$6*($B$9-$B$8)))^(1/2)-$B$10/(2*$B$7)</f>
        <v>5.0355262229260776E-7</v>
      </c>
      <c r="G23" s="65">
        <f t="shared" ref="G23:G27" si="1">(($B$10/(2*$B$7))^2+9*$E$16*D23/(2*$B$6*($B$9-$B$8)))^(-1/2)*(9*$E$16)/(4*$B$6*$B$9)</f>
        <v>8.9698924386453407E-3</v>
      </c>
      <c r="H23" s="65">
        <f t="shared" ref="H23:H27" si="2">(($B$10/(2*$B$7))^2+9*$E$16*D23/(2*$B$6*($B$9-$B$8)))^(-1/2)*((9*D23)/(4*$B$6*$B$9))*0.00000004765</f>
        <v>7.0580624442807428E-10</v>
      </c>
      <c r="I23" s="65">
        <f t="shared" ref="I23:I27" si="3">SQRT(G23^2*E23^2+H23^2*$C$18^2+$F$28^2)</f>
        <v>1.5656219350845522E-8</v>
      </c>
      <c r="J23" s="66">
        <f t="shared" ref="J23:J27" si="4">I23/F23</f>
        <v>3.1091525806309674E-2</v>
      </c>
    </row>
    <row r="24" spans="1:10" x14ac:dyDescent="0.25">
      <c r="A24" s="65">
        <v>3</v>
      </c>
      <c r="B24" s="71">
        <v>50.94</v>
      </c>
      <c r="C24" s="65">
        <f t="shared" ref="C24:C26" si="5">B24-B23</f>
        <v>17.589999999999996</v>
      </c>
      <c r="D24" s="66">
        <f>$B$12/(B24-B23)</f>
        <v>2.8425241614553729E-5</v>
      </c>
      <c r="E24" s="66">
        <f t="shared" si="0"/>
        <v>5.7133829171452505E-7</v>
      </c>
      <c r="F24" s="5">
        <f>(($B$10/(2*$B$7))^2+9*E16*D24/(2*$B$6*($B$9-$B$8)))^(1/2)-$B$10/(2*$B$7)</f>
        <v>4.8779230068800096E-7</v>
      </c>
      <c r="G24" s="65">
        <f t="shared" si="1"/>
        <v>9.2375057704626971E-3</v>
      </c>
      <c r="H24" s="65">
        <f t="shared" si="2"/>
        <v>6.8512792705510816E-10</v>
      </c>
      <c r="I24" s="65">
        <f t="shared" si="3"/>
        <v>1.5481989160111689E-8</v>
      </c>
      <c r="J24" s="66">
        <f t="shared" si="4"/>
        <v>3.1738896120900841E-2</v>
      </c>
    </row>
    <row r="25" spans="1:10" x14ac:dyDescent="0.25">
      <c r="A25" s="65">
        <v>4</v>
      </c>
      <c r="B25" s="71">
        <v>66.3</v>
      </c>
      <c r="C25" s="65">
        <f t="shared" si="5"/>
        <v>15.36</v>
      </c>
      <c r="D25" s="66">
        <f>$B$12/(B25-B24)</f>
        <v>3.2552083333333333E-5</v>
      </c>
      <c r="E25" s="66">
        <f t="shared" si="0"/>
        <v>7.4927730686033837E-7</v>
      </c>
      <c r="F25" s="5">
        <f>(($B$10/(2*$B$7))^2+9*E16*D25/(2*$B$6*($B$9-$B$8)))^(1/2)-$B$10/(2*$B$7)</f>
        <v>5.2462962130123637E-7</v>
      </c>
      <c r="G25" s="65">
        <f t="shared" si="1"/>
        <v>8.6353311274256737E-3</v>
      </c>
      <c r="H25" s="65">
        <f t="shared" si="2"/>
        <v>7.3345009152233811E-10</v>
      </c>
      <c r="I25" s="65">
        <f t="shared" si="3"/>
        <v>1.5928553355997489E-8</v>
      </c>
      <c r="J25" s="66">
        <f t="shared" si="4"/>
        <v>3.036152117467171E-2</v>
      </c>
    </row>
    <row r="26" spans="1:10" x14ac:dyDescent="0.25">
      <c r="A26" s="65">
        <v>5</v>
      </c>
      <c r="B26" s="71">
        <v>82.05</v>
      </c>
      <c r="C26" s="65">
        <f t="shared" si="5"/>
        <v>15.75</v>
      </c>
      <c r="D26" s="66">
        <f>$B$12/(B26-B25)</f>
        <v>3.1746031746031745E-5</v>
      </c>
      <c r="E26" s="66">
        <f>SQRT(2)*D26*$B$13/C26</f>
        <v>7.126296610597607E-7</v>
      </c>
      <c r="F26" s="5">
        <f>(($B$10/(2*$B$7))^2+9*E16*D26/(2*$B$6*($B$9-$B$8)))^(1/2)-$B$10/(2*$B$7)</f>
        <v>5.1762569462545162E-7</v>
      </c>
      <c r="G26" s="65">
        <f t="shared" si="1"/>
        <v>8.7437030297370117E-3</v>
      </c>
      <c r="H26" s="65">
        <f t="shared" si="2"/>
        <v>7.2426521598391635E-10</v>
      </c>
      <c r="I26" s="65">
        <f t="shared" si="3"/>
        <v>1.5832778260679567E-8</v>
      </c>
      <c r="J26" s="66">
        <f t="shared" si="4"/>
        <v>3.0587311304428183E-2</v>
      </c>
    </row>
    <row r="27" spans="1:10" x14ac:dyDescent="0.25">
      <c r="A27" s="7" t="s">
        <v>34</v>
      </c>
      <c r="B27" s="7"/>
      <c r="C27" s="7">
        <f>AVERAGE(C22:C26)</f>
        <v>16.41</v>
      </c>
      <c r="D27" s="7">
        <f>AVERAGE(D22:D26)</f>
        <v>3.0539063645684833E-5</v>
      </c>
      <c r="E27" s="8">
        <f>SQRT(2)*D27*$B$13/C27</f>
        <v>6.5796401569016806E-7</v>
      </c>
      <c r="F27" s="9">
        <f>AVERAGE(F22:F26)</f>
        <v>5.0681588845641353E-7</v>
      </c>
      <c r="G27" s="7">
        <f t="shared" si="1"/>
        <v>8.9138875910403769E-3</v>
      </c>
      <c r="H27" s="7">
        <f t="shared" si="2"/>
        <v>7.1028992267039481E-10</v>
      </c>
      <c r="I27" s="7">
        <f t="shared" si="3"/>
        <v>1.5692184241293053E-8</v>
      </c>
      <c r="J27" s="8">
        <f t="shared" si="4"/>
        <v>3.0962297352369984E-2</v>
      </c>
    </row>
    <row r="28" spans="1:10" x14ac:dyDescent="0.25">
      <c r="A28" s="65" t="s">
        <v>35</v>
      </c>
      <c r="C28" s="6">
        <f>_xlfn.STDEV.S(C22:C26)</f>
        <v>0.87877756002301177</v>
      </c>
      <c r="D28" s="66">
        <f>_xlfn.STDEV.S(D22:D26)</f>
        <v>1.6315203147113664E-6</v>
      </c>
      <c r="E28" s="8">
        <f>SQRT(2)*D28*$B$13/C28</f>
        <v>6.563999416108255E-7</v>
      </c>
      <c r="F28" s="66">
        <f>_xlfn.STDEV.S(F22:F26)</f>
        <v>1.4550604478346759E-8</v>
      </c>
    </row>
    <row r="30" spans="1:10" x14ac:dyDescent="0.25">
      <c r="A30" s="65" t="s">
        <v>31</v>
      </c>
      <c r="C30" s="65">
        <f t="array" ref="C30:G31">TRANSPOSE(A32:B36)</f>
        <v>1.5620358552863426E-8</v>
      </c>
      <c r="D30" s="65">
        <v>1.5656219350845522E-8</v>
      </c>
      <c r="E30" s="65">
        <v>1.5481989160111689E-8</v>
      </c>
      <c r="F30" s="65">
        <v>1.5928553355997489E-8</v>
      </c>
      <c r="G30" s="65">
        <v>1.5832778260679567E-8</v>
      </c>
    </row>
    <row r="31" spans="1:10" x14ac:dyDescent="0.25">
      <c r="B31" s="65" t="s">
        <v>25</v>
      </c>
      <c r="C31" s="65">
        <v>5.0047920337477117E-7</v>
      </c>
      <c r="D31" s="65">
        <v>5.0355262229260776E-7</v>
      </c>
      <c r="E31" s="65">
        <v>4.8779230068800096E-7</v>
      </c>
      <c r="F31" s="65">
        <v>5.2462962130123637E-7</v>
      </c>
      <c r="G31" s="65">
        <v>5.1762569462545162E-7</v>
      </c>
    </row>
    <row r="32" spans="1:10" x14ac:dyDescent="0.25">
      <c r="A32" s="65">
        <f>I22</f>
        <v>1.5620358552863426E-8</v>
      </c>
      <c r="B32" s="5">
        <f>F22</f>
        <v>5.0047920337477117E-7</v>
      </c>
      <c r="C32" s="65">
        <f t="shared" ref="C32:G36" si="6">(C$31-$B32)/SQRT(C$30^2+$A32^2)</f>
        <v>0</v>
      </c>
      <c r="D32" s="65">
        <f t="shared" si="6"/>
        <v>0.13896877954027498</v>
      </c>
      <c r="E32" s="65">
        <f t="shared" si="6"/>
        <v>-0.57686360067617615</v>
      </c>
      <c r="F32" s="65">
        <f t="shared" si="6"/>
        <v>1.0825165427104417</v>
      </c>
      <c r="G32" s="65">
        <f t="shared" si="6"/>
        <v>0.77093256677500055</v>
      </c>
    </row>
    <row r="33" spans="1:12" x14ac:dyDescent="0.25">
      <c r="A33" s="65">
        <f>I23</f>
        <v>1.5656219350845522E-8</v>
      </c>
      <c r="B33" s="5">
        <f>F23</f>
        <v>5.0355262229260776E-7</v>
      </c>
      <c r="C33" s="65">
        <f t="shared" si="6"/>
        <v>-0.13896877954027498</v>
      </c>
      <c r="D33" s="65">
        <f t="shared" si="6"/>
        <v>0</v>
      </c>
      <c r="E33" s="65">
        <f t="shared" si="6"/>
        <v>-0.71578015331122946</v>
      </c>
      <c r="F33" s="65">
        <f t="shared" si="6"/>
        <v>0.94369113195176002</v>
      </c>
      <c r="G33" s="65">
        <f t="shared" si="6"/>
        <v>0.63203081789789595</v>
      </c>
    </row>
    <row r="34" spans="1:12" x14ac:dyDescent="0.25">
      <c r="A34" s="65">
        <f>I24</f>
        <v>1.5481989160111689E-8</v>
      </c>
      <c r="B34" s="5">
        <f>F24</f>
        <v>4.8779230068800096E-7</v>
      </c>
      <c r="C34" s="65">
        <f t="shared" si="6"/>
        <v>0.57686360067617615</v>
      </c>
      <c r="D34" s="65">
        <f t="shared" si="6"/>
        <v>0.71578015331122946</v>
      </c>
      <c r="E34" s="65">
        <f t="shared" si="6"/>
        <v>0</v>
      </c>
      <c r="F34" s="65">
        <f t="shared" si="6"/>
        <v>1.6583786888114753</v>
      </c>
      <c r="G34" s="65">
        <f t="shared" si="6"/>
        <v>1.3472283805402343</v>
      </c>
    </row>
    <row r="35" spans="1:12" x14ac:dyDescent="0.25">
      <c r="A35" s="65">
        <f>I25</f>
        <v>1.5928553355997489E-8</v>
      </c>
      <c r="B35" s="5">
        <f>F25</f>
        <v>5.2462962130123637E-7</v>
      </c>
      <c r="C35" s="65">
        <f t="shared" si="6"/>
        <v>-1.0825165427104417</v>
      </c>
      <c r="D35" s="65">
        <f t="shared" si="6"/>
        <v>-0.94369113195176002</v>
      </c>
      <c r="E35" s="65">
        <f t="shared" si="6"/>
        <v>-1.6583786888114753</v>
      </c>
      <c r="F35" s="65">
        <f t="shared" si="6"/>
        <v>0</v>
      </c>
      <c r="G35" s="65">
        <f t="shared" si="6"/>
        <v>-0.31185729808964902</v>
      </c>
    </row>
    <row r="36" spans="1:12" x14ac:dyDescent="0.25">
      <c r="A36" s="65">
        <f>I26</f>
        <v>1.5832778260679567E-8</v>
      </c>
      <c r="B36" s="5">
        <f>F26</f>
        <v>5.1762569462545162E-7</v>
      </c>
      <c r="C36" s="65">
        <f t="shared" si="6"/>
        <v>-0.77093256677500055</v>
      </c>
      <c r="D36" s="65">
        <f t="shared" si="6"/>
        <v>-0.63203081789789595</v>
      </c>
      <c r="E36" s="65">
        <f t="shared" si="6"/>
        <v>-1.3472283805402343</v>
      </c>
      <c r="F36" s="65">
        <f t="shared" si="6"/>
        <v>0.31185729808964902</v>
      </c>
      <c r="G36" s="65">
        <f t="shared" si="6"/>
        <v>0</v>
      </c>
    </row>
    <row r="39" spans="1:12" x14ac:dyDescent="0.25">
      <c r="A39" s="65" t="s">
        <v>7</v>
      </c>
    </row>
    <row r="40" spans="1:12" x14ac:dyDescent="0.25">
      <c r="B40" s="65" t="s">
        <v>36</v>
      </c>
      <c r="C40" s="65" t="s">
        <v>27</v>
      </c>
      <c r="D40" s="65" t="s">
        <v>24</v>
      </c>
      <c r="E40" s="65" t="s">
        <v>29</v>
      </c>
      <c r="F40" s="65" t="s">
        <v>37</v>
      </c>
      <c r="G40" s="65" t="s">
        <v>39</v>
      </c>
      <c r="H40" s="65" t="s">
        <v>40</v>
      </c>
      <c r="I40" s="65" t="s">
        <v>41</v>
      </c>
      <c r="J40" s="65" t="s">
        <v>42</v>
      </c>
      <c r="K40" s="65" t="s">
        <v>2</v>
      </c>
      <c r="L40" s="65" t="s">
        <v>43</v>
      </c>
    </row>
    <row r="41" spans="1:12" x14ac:dyDescent="0.25">
      <c r="A41" s="70">
        <v>1</v>
      </c>
      <c r="B41" s="72">
        <v>83.65</v>
      </c>
      <c r="C41" s="65">
        <f>B41-B26</f>
        <v>1.6000000000000085</v>
      </c>
      <c r="D41" s="66">
        <f>$B$12/C41</f>
        <v>3.1249999999999833E-4</v>
      </c>
      <c r="E41" s="66">
        <f>SQRT(2)*D41*$B$13/C41</f>
        <v>6.9053396600248049E-5</v>
      </c>
      <c r="F41" s="66">
        <f>(4*PI()/3)*$F$27^3*($B$9-$B$8)*($B$6/$E$18)*(1+ABS(D41)/$D$27)</f>
        <v>9.8242902076729251E-16</v>
      </c>
      <c r="G41" s="66">
        <f>F41*3/$F$27</f>
        <v>5.8153012354807935E-9</v>
      </c>
      <c r="H41" s="66">
        <f>F41/$E$18</f>
        <v>1.871293372890081E-17</v>
      </c>
      <c r="I41" s="65">
        <f>(4*PI()/3)*$F$27^3*($B$9-$B$8)*($B$6/$E$18)*(1/$D$27)</f>
        <v>2.8638983861675294E-12</v>
      </c>
      <c r="J41" s="66">
        <f>(4*PI()/3)*$F$27^3*($B$9-$B$8)*($B$6/$E$18)*(ABS(D41)/$D$27^2)</f>
        <v>2.9305687170399121E-11</v>
      </c>
      <c r="K41" s="65">
        <f>SQRT(G41^2*$I$27^2+H41^2*$F$18^2+I41^2*E41^2+J41^2*$E$28^2)</f>
        <v>2.1886927171872454E-16</v>
      </c>
      <c r="L41" s="69">
        <f>K41/F41</f>
        <v>0.22278380126412003</v>
      </c>
    </row>
    <row r="42" spans="1:12" x14ac:dyDescent="0.25">
      <c r="A42" s="70">
        <v>2</v>
      </c>
      <c r="B42" s="72">
        <v>85.32</v>
      </c>
      <c r="C42" s="65">
        <f>B42-B41</f>
        <v>1.6699999999999875</v>
      </c>
      <c r="D42" s="66">
        <f t="shared" ref="D42:D45" si="7">$B$12/C42</f>
        <v>2.9940119760479269E-4</v>
      </c>
      <c r="E42" s="66">
        <f t="shared" ref="E42:E44" si="8">SQRT(2)*D42*$B$13/C42</f>
        <v>6.3385813509498213E-5</v>
      </c>
      <c r="F42" s="66">
        <f t="shared" ref="F42:F45" si="9">(4*PI()/3)*$F$27^3*($B$9-$B$8)*($B$6/$E$18)*(1+ABS(D42)/$D$27)</f>
        <v>9.4491538172693566E-16</v>
      </c>
      <c r="G42" s="66">
        <f t="shared" ref="G42:G45" si="10">F42*3/$F$27</f>
        <v>5.5932464031750591E-9</v>
      </c>
      <c r="H42" s="66">
        <f t="shared" ref="H42:H45" si="11">F42/$E$18</f>
        <v>1.7998388223370203E-17</v>
      </c>
      <c r="I42" s="65">
        <f t="shared" ref="I42:I45" si="12">(4*PI()/3)*$F$27^3*($B$9-$B$8)*($B$6/$E$18)*(1/$D$27)</f>
        <v>2.8638983861675294E-12</v>
      </c>
      <c r="J42" s="66">
        <f t="shared" ref="J42:J45" si="13">(4*PI()/3)*$F$27^3*($B$9-$B$8)*($B$6/$E$18)*(ABS(D42)/$D$27^2)</f>
        <v>2.8077305073436649E-11</v>
      </c>
      <c r="K42" s="65">
        <f t="shared" ref="K42:K45" si="14">SQRT(G42^2*$I$27^2+H42^2*$F$18^2+I42^2*E42^2+J42^2*$E$28^2)</f>
        <v>2.0269657011837358E-16</v>
      </c>
      <c r="L42" s="69">
        <f t="shared" ref="L42:L45" si="15">K42/F42</f>
        <v>0.21451293315590181</v>
      </c>
    </row>
    <row r="43" spans="1:12" x14ac:dyDescent="0.25">
      <c r="A43" s="70">
        <v>3</v>
      </c>
      <c r="B43" s="72">
        <v>86.86</v>
      </c>
      <c r="C43" s="65">
        <f>B43-B42</f>
        <v>1.5400000000000063</v>
      </c>
      <c r="D43" s="66">
        <f t="shared" si="7"/>
        <v>3.2467532467532337E-4</v>
      </c>
      <c r="E43" s="66">
        <f t="shared" si="8"/>
        <v>7.4539001221384497E-5</v>
      </c>
      <c r="F43" s="66">
        <f t="shared" si="9"/>
        <v>1.0172979134560215E-15</v>
      </c>
      <c r="G43" s="66">
        <f t="shared" si="10"/>
        <v>6.0217009961212557E-9</v>
      </c>
      <c r="H43" s="66">
        <f t="shared" si="11"/>
        <v>1.937710311344803E-17</v>
      </c>
      <c r="I43" s="65">
        <f t="shared" si="12"/>
        <v>2.8638983861675294E-12</v>
      </c>
      <c r="J43" s="66">
        <f t="shared" si="13"/>
        <v>3.0447467190025107E-11</v>
      </c>
      <c r="K43" s="65">
        <f t="shared" si="14"/>
        <v>2.3452572332122552E-16</v>
      </c>
      <c r="L43" s="69">
        <f t="shared" si="15"/>
        <v>0.23053789870115982</v>
      </c>
    </row>
    <row r="44" spans="1:12" x14ac:dyDescent="0.25">
      <c r="A44" s="70">
        <v>4</v>
      </c>
      <c r="B44" s="72">
        <v>88.37</v>
      </c>
      <c r="C44" s="65">
        <f>B44-B43</f>
        <v>1.5100000000000051</v>
      </c>
      <c r="D44" s="66">
        <f t="shared" si="7"/>
        <v>3.311258278145684E-4</v>
      </c>
      <c r="E44" s="66">
        <f t="shared" si="8"/>
        <v>7.7530237838970074E-5</v>
      </c>
      <c r="F44" s="66">
        <f t="shared" si="9"/>
        <v>1.0357714989864741E-15</v>
      </c>
      <c r="G44" s="66">
        <f t="shared" si="10"/>
        <v>6.1310518626857391E-9</v>
      </c>
      <c r="H44" s="66">
        <f t="shared" si="11"/>
        <v>1.9728980933075696E-17</v>
      </c>
      <c r="I44" s="65">
        <f t="shared" si="12"/>
        <v>2.8638983861675294E-12</v>
      </c>
      <c r="J44" s="66">
        <f t="shared" si="13"/>
        <v>3.1052383756714361E-11</v>
      </c>
      <c r="K44" s="65">
        <f t="shared" si="14"/>
        <v>2.4306423199271508E-16</v>
      </c>
      <c r="L44" s="69">
        <f t="shared" si="15"/>
        <v>0.23466974350091593</v>
      </c>
    </row>
    <row r="45" spans="1:12" x14ac:dyDescent="0.25">
      <c r="A45" s="70">
        <v>5</v>
      </c>
      <c r="B45" s="72">
        <v>90.1</v>
      </c>
      <c r="C45" s="65">
        <f>B45-B44</f>
        <v>1.7299999999999898</v>
      </c>
      <c r="D45" s="66">
        <f t="shared" si="7"/>
        <v>2.8901734104046413E-4</v>
      </c>
      <c r="E45" s="66">
        <f>SQRT(2)*D45*$B$13/C45</f>
        <v>5.9065353101219207E-5</v>
      </c>
      <c r="F45" s="66">
        <f t="shared" si="9"/>
        <v>9.1517707167015989E-16</v>
      </c>
      <c r="G45" s="66">
        <f t="shared" si="10"/>
        <v>5.4172161480028204E-9</v>
      </c>
      <c r="H45" s="66">
        <f t="shared" si="11"/>
        <v>1.7431944222288761E-17</v>
      </c>
      <c r="I45" s="65">
        <f t="shared" si="12"/>
        <v>2.8638983861675294E-12</v>
      </c>
      <c r="J45" s="66">
        <f t="shared" si="13"/>
        <v>2.7103525706727817E-11</v>
      </c>
      <c r="K45" s="65">
        <f t="shared" si="14"/>
        <v>1.9037007637483215E-16</v>
      </c>
      <c r="L45" s="69">
        <f t="shared" si="15"/>
        <v>0.20801447311984633</v>
      </c>
    </row>
    <row r="46" spans="1:12" x14ac:dyDescent="0.25">
      <c r="L46" s="69"/>
    </row>
    <row r="47" spans="1:12" x14ac:dyDescent="0.25">
      <c r="L47" s="69"/>
    </row>
    <row r="49" spans="1:12" x14ac:dyDescent="0.25">
      <c r="A49" s="65" t="s">
        <v>7</v>
      </c>
    </row>
    <row r="50" spans="1:12" x14ac:dyDescent="0.25">
      <c r="B50" s="65" t="s">
        <v>23</v>
      </c>
      <c r="C50" s="65" t="s">
        <v>27</v>
      </c>
      <c r="D50" s="65" t="s">
        <v>24</v>
      </c>
      <c r="E50" s="65" t="s">
        <v>29</v>
      </c>
      <c r="F50" s="65" t="s">
        <v>37</v>
      </c>
      <c r="G50" s="65" t="s">
        <v>39</v>
      </c>
      <c r="H50" s="65" t="s">
        <v>40</v>
      </c>
      <c r="I50" s="65" t="s">
        <v>41</v>
      </c>
      <c r="J50" s="65" t="s">
        <v>42</v>
      </c>
      <c r="K50" s="65" t="s">
        <v>2</v>
      </c>
      <c r="L50" s="65" t="s">
        <v>43</v>
      </c>
    </row>
    <row r="51" spans="1:12" x14ac:dyDescent="0.25">
      <c r="A51" s="70">
        <v>6</v>
      </c>
      <c r="B51" s="73">
        <v>91.45</v>
      </c>
      <c r="C51" s="65">
        <f>B51-B45</f>
        <v>1.3500000000000085</v>
      </c>
      <c r="D51" s="66">
        <f>$B$12/C51</f>
        <v>3.7037037037036802E-4</v>
      </c>
      <c r="E51" s="66">
        <f>SQRT(2)*D51*$B$13/C51</f>
        <v>9.6996814977577304E-5</v>
      </c>
      <c r="F51" s="66">
        <f>-(4*PI()/3)*$F$27^3*($B$9-$B$8)*($B$6/$E$18)*(1-ABS(D51)/$D$27)</f>
        <v>9.7324233089802287E-16</v>
      </c>
      <c r="G51" s="66">
        <f>F51*3/$F$27</f>
        <v>5.7609223767363538E-9</v>
      </c>
      <c r="H51" s="66">
        <f>F51/$E$18</f>
        <v>1.8537949159962339E-17</v>
      </c>
      <c r="I51" s="65">
        <f>-(4*PI()/3)*$F$27^3*($B$9-$B$8)*($B$6/$E$18)*(-1/$D$27)</f>
        <v>2.8638983861675294E-12</v>
      </c>
      <c r="J51" s="66">
        <f>-(4*PI()/3)*$F$27^3*($B$9-$B$8)*($B$6/$E$18)*(-ABS(D51)/$D$27^2)</f>
        <v>3.4732666276028555E-11</v>
      </c>
      <c r="K51" s="65">
        <f>SQRT(G51^2*$I$27^2+H51^2*$F$18^2+I51^2*E51^2+J51^2*$E$28^2)</f>
        <v>2.9317854012035545E-16</v>
      </c>
      <c r="L51" s="69">
        <f>K51/F51</f>
        <v>0.30123899342709021</v>
      </c>
    </row>
    <row r="52" spans="1:12" x14ac:dyDescent="0.25">
      <c r="A52" s="70">
        <v>7</v>
      </c>
      <c r="B52" s="73">
        <v>92.77</v>
      </c>
      <c r="C52" s="65">
        <f>B52-B51</f>
        <v>1.3199999999999932</v>
      </c>
      <c r="D52" s="66">
        <f t="shared" ref="D52:D55" si="16">$B$12/C52</f>
        <v>3.7878787878788074E-4</v>
      </c>
      <c r="E52" s="66">
        <f t="shared" ref="E52:E54" si="17">SQRT(2)*D52*$B$13/C52</f>
        <v>1.0145586277355297E-4</v>
      </c>
      <c r="F52" s="66">
        <f t="shared" ref="F52:F55" si="18">-(4*PI()/3)*$F$27^3*($B$9-$B$8)*($B$6/$E$18)*(1-ABS(D52)/$D$27)</f>
        <v>9.9734921967048912E-16</v>
      </c>
      <c r="G52" s="66">
        <f t="shared" ref="G52:G55" si="19">F52*3/$F$27</f>
        <v>5.9036185075495809E-9</v>
      </c>
      <c r="H52" s="66">
        <f t="shared" ref="H52:H55" si="20">F52/$E$18</f>
        <v>1.8997127993723601E-17</v>
      </c>
      <c r="I52" s="65">
        <f t="shared" ref="I52:I55" si="21">-(4*PI()/3)*$F$27^3*($B$9-$B$8)*($B$6/$E$18)*(-1/$D$27)</f>
        <v>2.8638983861675294E-12</v>
      </c>
      <c r="J52" s="66">
        <f t="shared" ref="J52:J55" si="22">-(4*PI()/3)*$F$27^3*($B$9-$B$8)*($B$6/$E$18)*(-ABS(D52)/$D$27^2)</f>
        <v>3.5522045055029607E-11</v>
      </c>
      <c r="K52" s="65">
        <f t="shared" ref="K52:K55" si="23">SQRT(G52^2*$I$27^2+H52^2*$F$18^2+I52^2*E52^2+J52^2*$E$28^2)</f>
        <v>3.0602308301927314E-16</v>
      </c>
      <c r="L52" s="69">
        <f t="shared" ref="L52:L55" si="24">K52/F52</f>
        <v>0.30683643901619445</v>
      </c>
    </row>
    <row r="53" spans="1:12" x14ac:dyDescent="0.25">
      <c r="A53" s="70">
        <v>8</v>
      </c>
      <c r="B53" s="73">
        <v>94.05</v>
      </c>
      <c r="C53" s="65">
        <f>B53-B52</f>
        <v>1.2800000000000011</v>
      </c>
      <c r="D53" s="66">
        <f t="shared" si="16"/>
        <v>3.9062499999999964E-4</v>
      </c>
      <c r="E53" s="66">
        <f t="shared" si="17"/>
        <v>1.0789593218788854E-4</v>
      </c>
      <c r="F53" s="66">
        <f t="shared" si="18"/>
        <v>1.0312495320067458E-15</v>
      </c>
      <c r="G53" s="66">
        <f t="shared" si="19"/>
        <v>6.1042849415055419E-9</v>
      </c>
      <c r="H53" s="66">
        <f t="shared" si="20"/>
        <v>1.9642848228699919E-17</v>
      </c>
      <c r="I53" s="65">
        <f t="shared" si="21"/>
        <v>2.8638983861675294E-12</v>
      </c>
      <c r="J53" s="66">
        <f t="shared" si="22"/>
        <v>3.6632108962999064E-11</v>
      </c>
      <c r="K53" s="65">
        <f t="shared" si="23"/>
        <v>3.2456588030534776E-16</v>
      </c>
      <c r="L53" s="69">
        <f t="shared" si="24"/>
        <v>0.31473069342757737</v>
      </c>
    </row>
    <row r="54" spans="1:12" x14ac:dyDescent="0.25">
      <c r="A54" s="70">
        <v>9</v>
      </c>
      <c r="B54" s="73">
        <v>95.46</v>
      </c>
      <c r="C54" s="65">
        <f>B54-B53</f>
        <v>1.4099999999999966</v>
      </c>
      <c r="D54" s="66">
        <f t="shared" si="16"/>
        <v>3.5460992907801508E-4</v>
      </c>
      <c r="E54" s="66">
        <f t="shared" si="17"/>
        <v>8.8917406215299912E-5</v>
      </c>
      <c r="F54" s="66">
        <f t="shared" si="18"/>
        <v>9.2810602851556526E-16</v>
      </c>
      <c r="G54" s="66">
        <f t="shared" si="19"/>
        <v>5.4937466424479483E-9</v>
      </c>
      <c r="H54" s="66">
        <f t="shared" si="20"/>
        <v>1.7678210066963148E-17</v>
      </c>
      <c r="I54" s="65">
        <f t="shared" si="21"/>
        <v>2.8638983861675294E-12</v>
      </c>
      <c r="J54" s="66">
        <f t="shared" si="22"/>
        <v>3.325468047704891E-11</v>
      </c>
      <c r="K54" s="65">
        <f t="shared" si="23"/>
        <v>2.6989150051229742E-16</v>
      </c>
      <c r="L54" s="69">
        <f t="shared" si="24"/>
        <v>0.29079813320894843</v>
      </c>
    </row>
    <row r="55" spans="1:12" x14ac:dyDescent="0.25">
      <c r="A55" s="70">
        <v>10</v>
      </c>
      <c r="B55" s="73">
        <v>96.8</v>
      </c>
      <c r="C55" s="65">
        <f>B55-B54</f>
        <v>1.3400000000000034</v>
      </c>
      <c r="D55" s="66">
        <f t="shared" si="16"/>
        <v>3.7313432835820804E-4</v>
      </c>
      <c r="E55" s="66">
        <f>SQRT(2)*D55*$B$13/C55</f>
        <v>9.8449930550588115E-5</v>
      </c>
      <c r="F55" s="66">
        <f t="shared" si="18"/>
        <v>9.8115802571883265E-16</v>
      </c>
      <c r="G55" s="66">
        <f t="shared" si="19"/>
        <v>5.807777822675025E-9</v>
      </c>
      <c r="H55" s="66">
        <f t="shared" si="20"/>
        <v>1.8688724299406338E-17</v>
      </c>
      <c r="I55" s="65">
        <f t="shared" si="21"/>
        <v>2.8638983861675294E-12</v>
      </c>
      <c r="J55" s="66">
        <f t="shared" si="22"/>
        <v>3.4991865278088607E-11</v>
      </c>
      <c r="K55" s="65">
        <f t="shared" si="23"/>
        <v>2.9736487235746094E-16</v>
      </c>
      <c r="L55" s="69">
        <f t="shared" si="24"/>
        <v>0.30307541146554901</v>
      </c>
    </row>
    <row r="56" spans="1:12" x14ac:dyDescent="0.25">
      <c r="L56" s="69"/>
    </row>
    <row r="57" spans="1:12" x14ac:dyDescent="0.25">
      <c r="L57" s="69"/>
    </row>
    <row r="59" spans="1:12" x14ac:dyDescent="0.25">
      <c r="B59" s="65" t="s">
        <v>38</v>
      </c>
    </row>
    <row r="60" spans="1:12" x14ac:dyDescent="0.25">
      <c r="A60" s="66"/>
      <c r="B60" s="65" t="s">
        <v>44</v>
      </c>
      <c r="C60" s="65" t="s">
        <v>45</v>
      </c>
    </row>
    <row r="61" spans="1:12" x14ac:dyDescent="0.25">
      <c r="A61" s="65">
        <v>1</v>
      </c>
      <c r="B61" s="66">
        <f>F41</f>
        <v>9.8242902076729251E-16</v>
      </c>
      <c r="C61" s="65">
        <f>K41</f>
        <v>2.1886927171872454E-16</v>
      </c>
    </row>
    <row r="62" spans="1:12" x14ac:dyDescent="0.25">
      <c r="A62" s="65">
        <v>2</v>
      </c>
      <c r="B62" s="66">
        <f t="shared" ref="B62:B65" si="25">F42</f>
        <v>9.4491538172693566E-16</v>
      </c>
      <c r="C62" s="65">
        <f t="shared" ref="C62:C65" si="26">K42</f>
        <v>2.0269657011837358E-16</v>
      </c>
    </row>
    <row r="63" spans="1:12" x14ac:dyDescent="0.25">
      <c r="A63" s="65">
        <v>3</v>
      </c>
      <c r="B63" s="66">
        <f t="shared" si="25"/>
        <v>1.0172979134560215E-15</v>
      </c>
      <c r="C63" s="65">
        <f t="shared" si="26"/>
        <v>2.3452572332122552E-16</v>
      </c>
    </row>
    <row r="64" spans="1:12" x14ac:dyDescent="0.25">
      <c r="A64" s="65">
        <v>4</v>
      </c>
      <c r="B64" s="66">
        <f t="shared" si="25"/>
        <v>1.0357714989864741E-15</v>
      </c>
      <c r="C64" s="65">
        <f t="shared" si="26"/>
        <v>2.4306423199271508E-16</v>
      </c>
    </row>
    <row r="65" spans="1:3" x14ac:dyDescent="0.25">
      <c r="A65" s="65">
        <v>5</v>
      </c>
      <c r="B65" s="66">
        <f t="shared" si="25"/>
        <v>9.1517707167015989E-16</v>
      </c>
      <c r="C65" s="65">
        <f t="shared" si="26"/>
        <v>1.9037007637483215E-16</v>
      </c>
    </row>
    <row r="66" spans="1:3" x14ac:dyDescent="0.25">
      <c r="A66" s="65">
        <v>6</v>
      </c>
      <c r="B66" s="66">
        <f>F51</f>
        <v>9.7324233089802287E-16</v>
      </c>
      <c r="C66" s="65">
        <f>K51</f>
        <v>2.9317854012035545E-16</v>
      </c>
    </row>
    <row r="67" spans="1:3" x14ac:dyDescent="0.25">
      <c r="A67" s="65">
        <v>7</v>
      </c>
      <c r="B67" s="66">
        <f t="shared" ref="B67:B70" si="27">F52</f>
        <v>9.9734921967048912E-16</v>
      </c>
      <c r="C67" s="65">
        <f t="shared" ref="C67:C70" si="28">K52</f>
        <v>3.0602308301927314E-16</v>
      </c>
    </row>
    <row r="68" spans="1:3" x14ac:dyDescent="0.25">
      <c r="A68" s="65">
        <v>8</v>
      </c>
      <c r="B68" s="66">
        <f t="shared" si="27"/>
        <v>1.0312495320067458E-15</v>
      </c>
      <c r="C68" s="65">
        <f t="shared" si="28"/>
        <v>3.2456588030534776E-16</v>
      </c>
    </row>
    <row r="69" spans="1:3" x14ac:dyDescent="0.25">
      <c r="A69" s="65">
        <v>9</v>
      </c>
      <c r="B69" s="66">
        <f t="shared" si="27"/>
        <v>9.2810602851556526E-16</v>
      </c>
      <c r="C69" s="65">
        <f t="shared" si="28"/>
        <v>2.6989150051229742E-16</v>
      </c>
    </row>
    <row r="70" spans="1:3" x14ac:dyDescent="0.25">
      <c r="A70" s="65">
        <v>10</v>
      </c>
      <c r="B70" s="66">
        <f t="shared" si="27"/>
        <v>9.8115802571883265E-16</v>
      </c>
      <c r="C70" s="65">
        <f t="shared" si="28"/>
        <v>2.9736487235746094E-16</v>
      </c>
    </row>
  </sheetData>
  <mergeCells count="2">
    <mergeCell ref="A1:C2"/>
    <mergeCell ref="A14:C15"/>
  </mergeCells>
  <conditionalFormatting sqref="C32:G36">
    <cfRule type="cellIs" dxfId="44" priority="5" operator="notBetween">
      <formula>-1.96</formula>
      <formula>1.96</formula>
    </cfRule>
  </conditionalFormatting>
  <conditionalFormatting sqref="L41:L47">
    <cfRule type="cellIs" priority="4" operator="greaterThan">
      <formula>0.04</formula>
    </cfRule>
  </conditionalFormatting>
  <conditionalFormatting sqref="L51:L57">
    <cfRule type="cellIs" priority="2" operator="greaterThan">
      <formula>0.04</formula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3" operator="greaterThan" id="{51660ADB-4490-45EE-B059-B462BA843070}">
            <xm:f>Dati!$B$14</xm:f>
            <x14:dxf>
              <fill>
                <patternFill>
                  <bgColor theme="5"/>
                </patternFill>
              </fill>
            </x14:dxf>
          </x14:cfRule>
          <xm:sqref>L41:L47</xm:sqref>
        </x14:conditionalFormatting>
        <x14:conditionalFormatting xmlns:xm="http://schemas.microsoft.com/office/excel/2006/main">
          <x14:cfRule type="cellIs" priority="1" operator="greaterThan" id="{B9CE5AE7-D015-4A53-ACF8-214656E1E6DA}">
            <xm:f>Dati!$B$14</xm:f>
            <x14:dxf>
              <fill>
                <patternFill>
                  <bgColor theme="5"/>
                </patternFill>
              </fill>
            </x14:dxf>
          </x14:cfRule>
          <xm:sqref>L51:L57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workbookViewId="0">
      <selection activeCell="D23" sqref="D23"/>
    </sheetView>
  </sheetViews>
  <sheetFormatPr defaultRowHeight="15" x14ac:dyDescent="0.25"/>
  <cols>
    <col min="1" max="1" width="13.140625" style="73" customWidth="1"/>
    <col min="2" max="2" width="9.140625" style="73"/>
    <col min="3" max="5" width="12" style="73" customWidth="1"/>
    <col min="6" max="7" width="12.140625" style="73" customWidth="1"/>
    <col min="8" max="9" width="12" style="73" customWidth="1"/>
    <col min="10" max="10" width="9.140625" style="73"/>
    <col min="11" max="11" width="12" style="73" customWidth="1"/>
    <col min="12" max="16384" width="9.140625" style="73"/>
  </cols>
  <sheetData>
    <row r="1" spans="1:5" x14ac:dyDescent="0.25">
      <c r="A1" s="187" t="str">
        <f>[1]Dati!A1</f>
        <v>Costanti varie</v>
      </c>
      <c r="B1" s="187"/>
      <c r="C1" s="187"/>
    </row>
    <row r="2" spans="1:5" x14ac:dyDescent="0.25">
      <c r="A2" s="187"/>
      <c r="B2" s="187"/>
      <c r="C2" s="187"/>
    </row>
    <row r="4" spans="1:5" x14ac:dyDescent="0.25">
      <c r="B4" s="73" t="s">
        <v>1</v>
      </c>
      <c r="C4" s="73" t="s">
        <v>2</v>
      </c>
    </row>
    <row r="5" spans="1:5" x14ac:dyDescent="0.25">
      <c r="A5" s="73" t="str">
        <f>[1]Dati!A5</f>
        <v>d</v>
      </c>
      <c r="B5" s="74">
        <v>7.6</v>
      </c>
      <c r="C5" s="73">
        <f>[1]Dati!C5</f>
        <v>1.0000000000000001E-5</v>
      </c>
    </row>
    <row r="6" spans="1:5" x14ac:dyDescent="0.25">
      <c r="A6" s="73" t="str">
        <f>[1]Dati!A6</f>
        <v>g</v>
      </c>
      <c r="B6" s="73">
        <f>[1]Dati!B6</f>
        <v>9.8059999999999992</v>
      </c>
      <c r="C6" s="73">
        <f>[1]Dati!C6</f>
        <v>0</v>
      </c>
    </row>
    <row r="7" spans="1:5" x14ac:dyDescent="0.25">
      <c r="A7" s="73" t="str">
        <f>[1]Dati!A7</f>
        <v>pressione</v>
      </c>
      <c r="B7" s="73">
        <f>[1]Dati!B7</f>
        <v>101325</v>
      </c>
      <c r="C7" s="73">
        <f>[1]Dati!C7</f>
        <v>0</v>
      </c>
    </row>
    <row r="8" spans="1:5" x14ac:dyDescent="0.25">
      <c r="A8" s="73" t="str">
        <f>[1]Dati!A8</f>
        <v>densità aria</v>
      </c>
      <c r="B8" s="73">
        <v>0</v>
      </c>
      <c r="C8" s="73">
        <f>[1]Dati!C8</f>
        <v>0</v>
      </c>
    </row>
    <row r="9" spans="1:5" x14ac:dyDescent="0.25">
      <c r="A9" s="73" t="str">
        <f>[1]Dati!A9</f>
        <v>densità olio</v>
      </c>
      <c r="B9" s="73">
        <v>858.7</v>
      </c>
      <c r="C9" s="73">
        <f>[1]Dati!C9</f>
        <v>0</v>
      </c>
    </row>
    <row r="10" spans="1:5" x14ac:dyDescent="0.25">
      <c r="A10" s="73" t="str">
        <f>[1]Dati!A10</f>
        <v>cst corr vis</v>
      </c>
      <c r="B10" s="73">
        <f>[1]Dati!B10</f>
        <v>8.2000000000000007E-3</v>
      </c>
      <c r="C10" s="73">
        <f>[1]Dati!C10</f>
        <v>0</v>
      </c>
    </row>
    <row r="11" spans="1:5" x14ac:dyDescent="0.25">
      <c r="A11" s="73" t="str">
        <f>[1]Dati!A11</f>
        <v>e</v>
      </c>
      <c r="B11" s="73">
        <f>[1]Dati!B11</f>
        <v>1.6021766200000001E-19</v>
      </c>
      <c r="C11" s="73">
        <f>[1]Dati!C11</f>
        <v>0</v>
      </c>
    </row>
    <row r="12" spans="1:5" x14ac:dyDescent="0.25">
      <c r="A12" s="73" t="str">
        <f>[1]Dati!A12</f>
        <v>deltax</v>
      </c>
      <c r="B12" s="73">
        <f>[1]Dati!B12</f>
        <v>5.0000000000000001E-4</v>
      </c>
      <c r="C12" s="73">
        <f>[1]Dati!C12</f>
        <v>0</v>
      </c>
    </row>
    <row r="13" spans="1:5" x14ac:dyDescent="0.25">
      <c r="A13" s="73" t="s">
        <v>30</v>
      </c>
      <c r="B13" s="73">
        <f>Dati!B13</f>
        <v>0.25</v>
      </c>
    </row>
    <row r="14" spans="1:5" x14ac:dyDescent="0.25">
      <c r="A14" s="187" t="s">
        <v>17</v>
      </c>
      <c r="B14" s="187"/>
      <c r="C14" s="187"/>
      <c r="D14" s="76"/>
    </row>
    <row r="15" spans="1:5" x14ac:dyDescent="0.25">
      <c r="A15" s="187"/>
      <c r="B15" s="187"/>
      <c r="C15" s="187"/>
      <c r="D15" s="76"/>
    </row>
    <row r="16" spans="1:5" x14ac:dyDescent="0.25">
      <c r="A16" s="73" t="s">
        <v>18</v>
      </c>
      <c r="B16" s="73">
        <v>399</v>
      </c>
      <c r="C16" s="73">
        <f>B16/100</f>
        <v>3.99</v>
      </c>
      <c r="D16" s="73" t="s">
        <v>19</v>
      </c>
      <c r="E16" s="73">
        <f>(1.8+(B18-15)*0.004765)*0.00001</f>
        <v>1.8262075000000001E-5</v>
      </c>
    </row>
    <row r="17" spans="1:10" x14ac:dyDescent="0.25">
      <c r="A17" s="73" t="s">
        <v>20</v>
      </c>
      <c r="E17" s="75"/>
    </row>
    <row r="18" spans="1:10" x14ac:dyDescent="0.25">
      <c r="A18" s="73" t="s">
        <v>21</v>
      </c>
      <c r="B18" s="73">
        <v>20.5</v>
      </c>
      <c r="C18" s="73">
        <v>0.5</v>
      </c>
      <c r="D18" s="73" t="s">
        <v>22</v>
      </c>
      <c r="E18" s="74">
        <f>B16/B5</f>
        <v>52.5</v>
      </c>
      <c r="F18" s="73">
        <f>SQRT((C16/B5)^2+(B16*C5/B5^2)^2)</f>
        <v>0.52500000454466755</v>
      </c>
      <c r="G18" s="74"/>
    </row>
    <row r="21" spans="1:10" x14ac:dyDescent="0.25">
      <c r="B21" s="73" t="s">
        <v>23</v>
      </c>
      <c r="C21" s="73" t="s">
        <v>27</v>
      </c>
      <c r="D21" s="73" t="s">
        <v>24</v>
      </c>
      <c r="E21" s="73" t="s">
        <v>29</v>
      </c>
      <c r="F21" s="73" t="s">
        <v>25</v>
      </c>
      <c r="G21" s="73" t="s">
        <v>26</v>
      </c>
      <c r="H21" s="73" t="s">
        <v>28</v>
      </c>
      <c r="I21" s="73" t="s">
        <v>31</v>
      </c>
      <c r="J21" s="73" t="s">
        <v>32</v>
      </c>
    </row>
    <row r="22" spans="1:10" x14ac:dyDescent="0.25">
      <c r="A22" s="73">
        <v>1</v>
      </c>
      <c r="B22" s="79">
        <v>18.989999999999998</v>
      </c>
      <c r="C22" s="73">
        <f>B22</f>
        <v>18.989999999999998</v>
      </c>
      <c r="D22" s="74">
        <f>B12/B22</f>
        <v>2.6329647182727753E-5</v>
      </c>
      <c r="E22" s="74">
        <f>SQRT(2)*D22*$B$13/C22</f>
        <v>4.9020200287404096E-7</v>
      </c>
      <c r="F22" s="5">
        <f>(($B$10/(2*$B$7))^2+9*$E$16*D22/(2*$B$6*($B$9-$B$8)))^(1/2)-$B$10/(2*$B$7)</f>
        <v>4.6806591928162416E-7</v>
      </c>
      <c r="G22" s="73">
        <f>(($B$10/(2*$B$7))^2+9*$E$16*D22/(2*$B$6*($B$9-$B$8)))^(-1/2)*(9*$E$16)/(4*$B$6*$B$9)</f>
        <v>9.5958379108190134E-3</v>
      </c>
      <c r="H22" s="73">
        <f>(($B$10/(2*$B$7))^2+9*$E$16*D22/(2*$B$6*($B$9-$B$8)))^(-1/2)*((9*D22)/(4*$B$6*$B$9))*0.00000004765</f>
        <v>6.5923571216202472E-10</v>
      </c>
      <c r="I22" s="73">
        <f>SQRT(G22^2*E22^2+H22^2*$C$18^2+$F$28^2)</f>
        <v>2.7371896504617283E-8</v>
      </c>
      <c r="J22" s="74">
        <f>I22/F22</f>
        <v>5.8478721430150232E-2</v>
      </c>
    </row>
    <row r="23" spans="1:10" x14ac:dyDescent="0.25">
      <c r="A23" s="73">
        <v>2</v>
      </c>
      <c r="B23" s="79">
        <v>34.340000000000003</v>
      </c>
      <c r="C23" s="73">
        <f>B23-B22</f>
        <v>15.350000000000005</v>
      </c>
      <c r="D23" s="74">
        <f>$B$12/(B23-B22)</f>
        <v>3.2573289902280121E-5</v>
      </c>
      <c r="E23" s="74">
        <f t="shared" ref="E23:E25" si="0">SQRT(2)*D23*$B$13/C23</f>
        <v>7.5025388193672848E-7</v>
      </c>
      <c r="F23" s="5">
        <f>(($B$10/(2*$B$7))^2+9*E16*D23/(2*$B$6*($B$9-$B$8)))^(1/2)-$B$10/(2*$B$7)</f>
        <v>5.2481271738366411E-7</v>
      </c>
      <c r="G23" s="73">
        <f t="shared" ref="G23:G27" si="1">(($B$10/(2*$B$7))^2+9*$E$16*D23/(2*$B$6*($B$9-$B$8)))^(-1/2)*(9*$E$16)/(4*$B$6*$B$9)</f>
        <v>8.6325340978296861E-3</v>
      </c>
      <c r="H23" s="73">
        <f t="shared" ref="H23:H27" si="2">(($B$10/(2*$B$7))^2+9*$E$16*D23/(2*$B$6*($B$9-$B$8)))^(-1/2)*((9*D23)/(4*$B$6*$B$9))*0.00000004765</f>
        <v>7.3369018602543262E-10</v>
      </c>
      <c r="I23" s="73">
        <f t="shared" ref="I23:I27" si="3">SQRT(G23^2*E23^2+H23^2*$C$18^2+$F$28^2)</f>
        <v>2.7732043324493343E-8</v>
      </c>
      <c r="J23" s="74">
        <f t="shared" ref="J23:J27" si="4">I23/F23</f>
        <v>5.2841789853617142E-2</v>
      </c>
    </row>
    <row r="24" spans="1:10" x14ac:dyDescent="0.25">
      <c r="A24" s="73">
        <v>3</v>
      </c>
      <c r="B24" s="79">
        <v>50.83</v>
      </c>
      <c r="C24" s="73">
        <f t="shared" ref="C24:C26" si="5">B24-B23</f>
        <v>16.489999999999995</v>
      </c>
      <c r="D24" s="74">
        <f>$B$12/(B24-B23)</f>
        <v>3.0321406913280787E-5</v>
      </c>
      <c r="E24" s="74">
        <f t="shared" si="0"/>
        <v>6.5010528937227156E-7</v>
      </c>
      <c r="F24" s="5">
        <f>(($B$10/(2*$B$7))^2+9*E16*D24/(2*$B$6*($B$9-$B$8)))^(1/2)-$B$10/(2*$B$7)</f>
        <v>5.0502699221486326E-7</v>
      </c>
      <c r="G24" s="73">
        <f t="shared" si="1"/>
        <v>8.9456483294898161E-3</v>
      </c>
      <c r="H24" s="73">
        <f t="shared" si="2"/>
        <v>7.0774034406220917E-10</v>
      </c>
      <c r="I24" s="73">
        <f t="shared" si="3"/>
        <v>2.7584995685675246E-8</v>
      </c>
      <c r="J24" s="74">
        <f t="shared" si="4"/>
        <v>5.4620834353224498E-2</v>
      </c>
    </row>
    <row r="25" spans="1:10" x14ac:dyDescent="0.25">
      <c r="A25" s="73">
        <v>4</v>
      </c>
      <c r="B25" s="79">
        <v>65.599999999999994</v>
      </c>
      <c r="C25" s="73">
        <f t="shared" si="5"/>
        <v>14.769999999999996</v>
      </c>
      <c r="D25" s="74">
        <f>$B$12/(B25-B24)</f>
        <v>3.3852403520649973E-5</v>
      </c>
      <c r="E25" s="74">
        <f t="shared" si="0"/>
        <v>8.1033392311831274E-7</v>
      </c>
      <c r="F25" s="5">
        <f>(($B$10/(2*$B$7))^2+9*E16*D25/(2*$B$6*($B$9-$B$8)))^(1/2)-$B$10/(2*$B$7)</f>
        <v>5.3574891992047506E-7</v>
      </c>
      <c r="G25" s="73">
        <f t="shared" si="1"/>
        <v>8.4686933334744453E-3</v>
      </c>
      <c r="H25" s="73">
        <f t="shared" si="2"/>
        <v>7.4802945363162924E-10</v>
      </c>
      <c r="I25" s="73">
        <f t="shared" si="3"/>
        <v>2.7824787140708995E-8</v>
      </c>
      <c r="J25" s="74">
        <f t="shared" si="4"/>
        <v>5.193624495750588E-2</v>
      </c>
    </row>
    <row r="26" spans="1:10" x14ac:dyDescent="0.25">
      <c r="A26" s="73">
        <v>5</v>
      </c>
      <c r="B26" s="79">
        <v>83</v>
      </c>
      <c r="C26" s="73">
        <f t="shared" si="5"/>
        <v>17.400000000000006</v>
      </c>
      <c r="D26" s="74">
        <f>$B$12/(B26-B25)</f>
        <v>2.8735632183908038E-5</v>
      </c>
      <c r="E26" s="74">
        <f>SQRT(2)*D26*$B$13/C26</f>
        <v>5.8388391893459099E-7</v>
      </c>
      <c r="F26" s="5">
        <f>(($B$10/(2*$B$7))^2+9*E16*D26/(2*$B$6*($B$9-$B$8)))^(1/2)-$B$10/(2*$B$7)</f>
        <v>4.9065179601823817E-7</v>
      </c>
      <c r="G26" s="73">
        <f t="shared" si="1"/>
        <v>9.1877715842906566E-3</v>
      </c>
      <c r="H26" s="73">
        <f t="shared" si="2"/>
        <v>6.8888024189104793E-10</v>
      </c>
      <c r="I26" s="73">
        <f t="shared" si="3"/>
        <v>2.7493324499650046E-8</v>
      </c>
      <c r="J26" s="74">
        <f t="shared" si="4"/>
        <v>5.6034288924987616E-2</v>
      </c>
    </row>
    <row r="27" spans="1:10" x14ac:dyDescent="0.25">
      <c r="A27" s="7" t="s">
        <v>34</v>
      </c>
      <c r="B27" s="7"/>
      <c r="C27" s="7">
        <f>AVERAGE(C22:C26)</f>
        <v>16.600000000000001</v>
      </c>
      <c r="D27" s="7">
        <f>AVERAGE(D22:D26)</f>
        <v>3.0362475940569333E-5</v>
      </c>
      <c r="E27" s="8">
        <f>SQRT(2)*D27*$B$13/C27</f>
        <v>6.4667206720451726E-7</v>
      </c>
      <c r="F27" s="9">
        <f>AVERAGE(F22:F26)</f>
        <v>5.0486126896377307E-7</v>
      </c>
      <c r="G27" s="7">
        <f t="shared" si="1"/>
        <v>8.9396294989546946E-3</v>
      </c>
      <c r="H27" s="7">
        <f t="shared" si="2"/>
        <v>7.0822211922077259E-10</v>
      </c>
      <c r="I27" s="7">
        <f t="shared" si="3"/>
        <v>2.757772399905059E-8</v>
      </c>
      <c r="J27" s="8">
        <f t="shared" si="4"/>
        <v>5.4624360580588456E-2</v>
      </c>
    </row>
    <row r="28" spans="1:10" x14ac:dyDescent="0.25">
      <c r="A28" s="73" t="s">
        <v>35</v>
      </c>
      <c r="C28" s="6">
        <f>_xlfn.STDEV.S(C22:C26)</f>
        <v>1.6789580101956096</v>
      </c>
      <c r="D28" s="74">
        <f>_xlfn.STDEV.S(D22:D26)</f>
        <v>2.9991377073738705E-6</v>
      </c>
      <c r="E28" s="8">
        <f>SQRT(2)*D28*$B$13/C28</f>
        <v>6.3155558320045854E-7</v>
      </c>
      <c r="F28" s="74">
        <f>_xlfn.STDEV.S(F22:F26)</f>
        <v>2.6962666872418618E-8</v>
      </c>
    </row>
    <row r="30" spans="1:10" x14ac:dyDescent="0.25">
      <c r="A30" s="73" t="s">
        <v>31</v>
      </c>
      <c r="C30" s="73">
        <f t="array" ref="C30:G31">TRANSPOSE(A32:B36)</f>
        <v>2.7371896504617283E-8</v>
      </c>
      <c r="D30" s="73">
        <v>2.7732043324493343E-8</v>
      </c>
      <c r="E30" s="73">
        <v>2.7584995685675246E-8</v>
      </c>
      <c r="F30" s="73">
        <v>2.7824787140708995E-8</v>
      </c>
      <c r="G30" s="73">
        <v>2.7493324499650046E-8</v>
      </c>
    </row>
    <row r="31" spans="1:10" x14ac:dyDescent="0.25">
      <c r="B31" s="73" t="s">
        <v>25</v>
      </c>
      <c r="C31" s="73">
        <v>4.6806591928162416E-7</v>
      </c>
      <c r="D31" s="73">
        <v>5.2481271738366411E-7</v>
      </c>
      <c r="E31" s="73">
        <v>5.0502699221486326E-7</v>
      </c>
      <c r="F31" s="73">
        <v>5.3574891992047506E-7</v>
      </c>
      <c r="G31" s="73">
        <v>4.9065179601823817E-7</v>
      </c>
    </row>
    <row r="32" spans="1:10" x14ac:dyDescent="0.25">
      <c r="A32" s="73">
        <f>I22</f>
        <v>2.7371896504617283E-8</v>
      </c>
      <c r="B32" s="5">
        <f>F22</f>
        <v>4.6806591928162416E-7</v>
      </c>
      <c r="C32" s="73">
        <f t="shared" ref="C32:G36" si="6">(C$31-$B32)/SQRT(C$30^2+$A32^2)</f>
        <v>0</v>
      </c>
      <c r="D32" s="73">
        <f t="shared" si="6"/>
        <v>1.4563455492255115</v>
      </c>
      <c r="E32" s="73">
        <f t="shared" si="6"/>
        <v>0.95111742281704448</v>
      </c>
      <c r="F32" s="73">
        <f t="shared" si="6"/>
        <v>1.7340714928614953</v>
      </c>
      <c r="G32" s="73">
        <f t="shared" si="6"/>
        <v>0.58217527216830411</v>
      </c>
    </row>
    <row r="33" spans="1:12" x14ac:dyDescent="0.25">
      <c r="A33" s="73">
        <f>I23</f>
        <v>2.7732043324493343E-8</v>
      </c>
      <c r="B33" s="5">
        <f>F23</f>
        <v>5.2481271738366411E-7</v>
      </c>
      <c r="C33" s="73">
        <f t="shared" si="6"/>
        <v>-1.4563455492255115</v>
      </c>
      <c r="D33" s="73">
        <f t="shared" si="6"/>
        <v>0</v>
      </c>
      <c r="E33" s="73">
        <f t="shared" si="6"/>
        <v>-0.5058322446932717</v>
      </c>
      <c r="F33" s="73">
        <f t="shared" si="6"/>
        <v>0.27838349072460528</v>
      </c>
      <c r="G33" s="73">
        <f t="shared" si="6"/>
        <v>-0.87478615101640056</v>
      </c>
    </row>
    <row r="34" spans="1:12" x14ac:dyDescent="0.25">
      <c r="A34" s="73">
        <f>I24</f>
        <v>2.7584995685675246E-8</v>
      </c>
      <c r="B34" s="5">
        <f>F24</f>
        <v>5.0502699221486326E-7</v>
      </c>
      <c r="C34" s="73">
        <f t="shared" si="6"/>
        <v>-0.95111742281704448</v>
      </c>
      <c r="D34" s="73">
        <f t="shared" si="6"/>
        <v>0.5058322446932717</v>
      </c>
      <c r="E34" s="73">
        <f t="shared" si="6"/>
        <v>0</v>
      </c>
      <c r="F34" s="73">
        <f t="shared" si="6"/>
        <v>0.78410269394690391</v>
      </c>
      <c r="G34" s="73">
        <f t="shared" si="6"/>
        <v>-0.36910292827760627</v>
      </c>
    </row>
    <row r="35" spans="1:12" x14ac:dyDescent="0.25">
      <c r="A35" s="73">
        <f>I25</f>
        <v>2.7824787140708995E-8</v>
      </c>
      <c r="B35" s="5">
        <f>F25</f>
        <v>5.3574891992047506E-7</v>
      </c>
      <c r="C35" s="73">
        <f t="shared" si="6"/>
        <v>-1.7340714928614953</v>
      </c>
      <c r="D35" s="73">
        <f t="shared" si="6"/>
        <v>-0.27838349072460528</v>
      </c>
      <c r="E35" s="73">
        <f t="shared" si="6"/>
        <v>-0.78410269394690391</v>
      </c>
      <c r="F35" s="73">
        <f t="shared" si="6"/>
        <v>0</v>
      </c>
      <c r="G35" s="73">
        <f t="shared" si="6"/>
        <v>-1.1528921990320888</v>
      </c>
    </row>
    <row r="36" spans="1:12" x14ac:dyDescent="0.25">
      <c r="A36" s="73">
        <f>I26</f>
        <v>2.7493324499650046E-8</v>
      </c>
      <c r="B36" s="5">
        <f>F26</f>
        <v>4.9065179601823817E-7</v>
      </c>
      <c r="C36" s="73">
        <f t="shared" si="6"/>
        <v>-0.58217527216830411</v>
      </c>
      <c r="D36" s="73">
        <f t="shared" si="6"/>
        <v>0.87478615101640056</v>
      </c>
      <c r="E36" s="73">
        <f t="shared" si="6"/>
        <v>0.36910292827760627</v>
      </c>
      <c r="F36" s="73">
        <f t="shared" si="6"/>
        <v>1.1528921990320888</v>
      </c>
      <c r="G36" s="73">
        <f t="shared" si="6"/>
        <v>0</v>
      </c>
    </row>
    <row r="39" spans="1:12" x14ac:dyDescent="0.25">
      <c r="A39" s="73" t="s">
        <v>7</v>
      </c>
    </row>
    <row r="40" spans="1:12" x14ac:dyDescent="0.25">
      <c r="B40" s="73" t="s">
        <v>36</v>
      </c>
      <c r="C40" s="73" t="s">
        <v>27</v>
      </c>
      <c r="D40" s="73" t="s">
        <v>24</v>
      </c>
      <c r="E40" s="73" t="s">
        <v>29</v>
      </c>
      <c r="F40" s="73" t="s">
        <v>37</v>
      </c>
      <c r="G40" s="73" t="s">
        <v>39</v>
      </c>
      <c r="H40" s="73" t="s">
        <v>40</v>
      </c>
      <c r="I40" s="73" t="s">
        <v>41</v>
      </c>
      <c r="J40" s="73" t="s">
        <v>42</v>
      </c>
      <c r="K40" s="73" t="s">
        <v>2</v>
      </c>
      <c r="L40" s="73" t="s">
        <v>43</v>
      </c>
    </row>
    <row r="41" spans="1:12" x14ac:dyDescent="0.25">
      <c r="A41" s="78">
        <v>1</v>
      </c>
      <c r="B41" s="80">
        <v>83.84</v>
      </c>
      <c r="C41" s="73">
        <f>B41-B26</f>
        <v>0.84000000000000341</v>
      </c>
      <c r="D41" s="74">
        <f>$B$12/C41</f>
        <v>5.952380952380928E-4</v>
      </c>
      <c r="E41" s="74">
        <f>SQRT(2)*D41*$B$13/C41</f>
        <v>2.5053386521632008E-4</v>
      </c>
      <c r="F41" s="74">
        <f>(4*PI()/3)*$F$27^3*($B$9-$B$8)*($B$6/$E$18)*(1+ABS(D41)/$D$27)</f>
        <v>1.7813069987729252E-15</v>
      </c>
      <c r="G41" s="74">
        <f>F41*3/$F$27</f>
        <v>1.0584929613014611E-8</v>
      </c>
      <c r="H41" s="74">
        <f>F41/$E$18</f>
        <v>3.3929657119484287E-17</v>
      </c>
      <c r="I41" s="73">
        <f>(4*PI()/3)*$F$27^3*($B$9-$B$8)*($B$6/$E$18)*(1/$D$27)</f>
        <v>2.8473551349495345E-12</v>
      </c>
      <c r="J41" s="74">
        <f>(4*PI()/3)*$F$27^3*($B$9-$B$8)*($B$6/$E$18)*(ABS(D41)/$D$27^2)</f>
        <v>5.5820686373246507E-11</v>
      </c>
      <c r="K41" s="73">
        <f>SQRT(G41^2*$I$27^2+H41^2*$F$18^2+I41^2*E41^2+J41^2*$E$28^2)</f>
        <v>7.7178460703316686E-16</v>
      </c>
      <c r="L41" s="77">
        <f>K41/F41</f>
        <v>0.43326872210394951</v>
      </c>
    </row>
    <row r="42" spans="1:12" x14ac:dyDescent="0.25">
      <c r="A42" s="78">
        <v>2</v>
      </c>
      <c r="B42" s="80">
        <v>84.55</v>
      </c>
      <c r="C42" s="73">
        <f>B42-B41</f>
        <v>0.70999999999999375</v>
      </c>
      <c r="D42" s="74">
        <f t="shared" ref="D42:D45" si="7">$B$12/C42</f>
        <v>7.0422535211268227E-4</v>
      </c>
      <c r="E42" s="74">
        <f t="shared" ref="E42:E44" si="8">SQRT(2)*D42*$B$13/C42</f>
        <v>3.5067783236786352E-4</v>
      </c>
      <c r="F42" s="74">
        <f t="shared" ref="F42:F45" si="9">(4*PI()/3)*$F$27^3*($B$9-$B$8)*($B$6/$E$18)*(1+ABS(D42)/$D$27)</f>
        <v>2.0916324242788517E-15</v>
      </c>
      <c r="G42" s="74">
        <f t="shared" ref="G42:G45" si="10">F42*3/$F$27</f>
        <v>1.2428953573158368E-8</v>
      </c>
      <c r="H42" s="74">
        <f t="shared" ref="H42:H45" si="11">F42/$E$18</f>
        <v>3.9840617605311461E-17</v>
      </c>
      <c r="I42" s="73">
        <f t="shared" ref="I42:I45" si="12">(4*PI()/3)*$F$27^3*($B$9-$B$8)*($B$6/$E$18)*(1/$D$27)</f>
        <v>2.8473551349495345E-12</v>
      </c>
      <c r="J42" s="74">
        <f t="shared" ref="J42:J45" si="13">(4*PI()/3)*$F$27^3*($B$9-$B$8)*($B$6/$E$18)*(ABS(D42)/$D$27^2)</f>
        <v>6.6041375427503766E-11</v>
      </c>
      <c r="K42" s="73">
        <f t="shared" ref="K42:K45" si="14">SQRT(G42^2*$I$27^2+H42^2*$F$18^2+I42^2*E42^2+J42^2*$E$28^2)</f>
        <v>1.0567279535887425E-15</v>
      </c>
      <c r="L42" s="77">
        <f t="shared" ref="L42:L45" si="15">K42/F42</f>
        <v>0.50521685422479468</v>
      </c>
    </row>
    <row r="43" spans="1:12" x14ac:dyDescent="0.25">
      <c r="A43" s="78">
        <v>3</v>
      </c>
      <c r="B43" s="80">
        <v>85.33</v>
      </c>
      <c r="C43" s="73">
        <f>B43-B42</f>
        <v>0.78000000000000114</v>
      </c>
      <c r="D43" s="74">
        <f t="shared" si="7"/>
        <v>6.4102564102564016E-4</v>
      </c>
      <c r="E43" s="74">
        <f t="shared" si="8"/>
        <v>2.9055998569466865E-4</v>
      </c>
      <c r="F43" s="74">
        <f t="shared" si="9"/>
        <v>1.9116804023878353E-15</v>
      </c>
      <c r="G43" s="74">
        <f t="shared" si="10"/>
        <v>1.1359637903962547E-8</v>
      </c>
      <c r="H43" s="74">
        <f t="shared" si="11"/>
        <v>3.6412960045482576E-17</v>
      </c>
      <c r="I43" s="73">
        <f t="shared" si="12"/>
        <v>2.8473551349495345E-12</v>
      </c>
      <c r="J43" s="74">
        <f t="shared" si="13"/>
        <v>6.0114585325034861E-11</v>
      </c>
      <c r="K43" s="73">
        <f t="shared" si="14"/>
        <v>8.8567349039426175E-16</v>
      </c>
      <c r="L43" s="77">
        <f t="shared" si="15"/>
        <v>0.46329579425932688</v>
      </c>
    </row>
    <row r="44" spans="1:12" x14ac:dyDescent="0.25">
      <c r="A44" s="78">
        <v>4</v>
      </c>
      <c r="B44" s="80">
        <v>86.08</v>
      </c>
      <c r="C44" s="73">
        <f>B44-B43</f>
        <v>0.75</v>
      </c>
      <c r="D44" s="74">
        <f t="shared" si="7"/>
        <v>6.6666666666666664E-4</v>
      </c>
      <c r="E44" s="74">
        <f t="shared" si="8"/>
        <v>3.1426968052735446E-4</v>
      </c>
      <c r="F44" s="74">
        <f t="shared" si="9"/>
        <v>1.9846895084121847E-15</v>
      </c>
      <c r="G44" s="74">
        <f t="shared" si="10"/>
        <v>1.1793474546893386E-8</v>
      </c>
      <c r="H44" s="74">
        <f t="shared" si="11"/>
        <v>3.7803609684041612E-17</v>
      </c>
      <c r="I44" s="73">
        <f t="shared" si="12"/>
        <v>2.8473551349495345E-12</v>
      </c>
      <c r="J44" s="74">
        <f t="shared" si="13"/>
        <v>6.2519168738036346E-11</v>
      </c>
      <c r="K44" s="73">
        <f t="shared" si="14"/>
        <v>9.5313487545583704E-16</v>
      </c>
      <c r="L44" s="77">
        <f t="shared" si="15"/>
        <v>0.48024382222808015</v>
      </c>
    </row>
    <row r="45" spans="1:12" x14ac:dyDescent="0.25">
      <c r="A45" s="78">
        <v>5</v>
      </c>
      <c r="B45" s="80">
        <v>86.84</v>
      </c>
      <c r="C45" s="73">
        <f>B45-B44</f>
        <v>0.76000000000000512</v>
      </c>
      <c r="D45" s="74">
        <f t="shared" si="7"/>
        <v>6.578947368421008E-4</v>
      </c>
      <c r="E45" s="74">
        <f>SQRT(2)*D45*$B$13/C45</f>
        <v>3.0605383534735892E-4</v>
      </c>
      <c r="F45" s="74">
        <f t="shared" si="9"/>
        <v>1.9597127089827902E-15</v>
      </c>
      <c r="G45" s="74">
        <f t="shared" si="10"/>
        <v>1.1645056747995923E-8</v>
      </c>
      <c r="H45" s="74">
        <f t="shared" si="11"/>
        <v>3.7327861123481721E-17</v>
      </c>
      <c r="I45" s="73">
        <f t="shared" si="12"/>
        <v>2.8473551349495345E-12</v>
      </c>
      <c r="J45" s="74">
        <f t="shared" si="13"/>
        <v>6.1696548096745973E-11</v>
      </c>
      <c r="K45" s="73">
        <f t="shared" si="14"/>
        <v>9.2975827498763683E-16</v>
      </c>
      <c r="L45" s="77">
        <f t="shared" si="15"/>
        <v>0.47443600826074028</v>
      </c>
    </row>
    <row r="46" spans="1:12" x14ac:dyDescent="0.25">
      <c r="L46" s="77"/>
    </row>
    <row r="47" spans="1:12" x14ac:dyDescent="0.25">
      <c r="L47" s="77"/>
    </row>
    <row r="49" spans="1:12" x14ac:dyDescent="0.25">
      <c r="A49" s="73" t="s">
        <v>7</v>
      </c>
    </row>
    <row r="50" spans="1:12" x14ac:dyDescent="0.25">
      <c r="B50" s="73" t="s">
        <v>23</v>
      </c>
      <c r="C50" s="73" t="s">
        <v>27</v>
      </c>
      <c r="D50" s="73" t="s">
        <v>24</v>
      </c>
      <c r="E50" s="73" t="s">
        <v>29</v>
      </c>
      <c r="F50" s="73" t="s">
        <v>37</v>
      </c>
      <c r="G50" s="73" t="s">
        <v>39</v>
      </c>
      <c r="H50" s="73" t="s">
        <v>40</v>
      </c>
      <c r="I50" s="73" t="s">
        <v>41</v>
      </c>
      <c r="J50" s="73" t="s">
        <v>42</v>
      </c>
      <c r="K50" s="73" t="s">
        <v>2</v>
      </c>
      <c r="L50" s="73" t="s">
        <v>43</v>
      </c>
    </row>
    <row r="51" spans="1:12" x14ac:dyDescent="0.25">
      <c r="A51" s="78">
        <v>6</v>
      </c>
      <c r="B51" s="81">
        <v>87.59</v>
      </c>
      <c r="C51" s="73">
        <f>B51-B45</f>
        <v>0.75</v>
      </c>
      <c r="D51" s="74">
        <f>$B$12/C51</f>
        <v>6.6666666666666664E-4</v>
      </c>
      <c r="E51" s="74">
        <f>SQRT(2)*D51*$B$13/C51</f>
        <v>3.1426968052735446E-4</v>
      </c>
      <c r="F51" s="74">
        <f>-(4*PI()/3)*$F$27^3*($B$9-$B$8)*($B$6/$E$18)*(1-ABS(D51)/$D$27)</f>
        <v>1.8117840048538609E-15</v>
      </c>
      <c r="G51" s="74">
        <f>F51*3/$F$27</f>
        <v>1.0766030885509664E-8</v>
      </c>
      <c r="H51" s="74">
        <f>F51/$E$18</f>
        <v>3.451017152102592E-17</v>
      </c>
      <c r="I51" s="73">
        <f>-(4*PI()/3)*$F$27^3*($B$9-$B$8)*($B$6/$E$18)*(-1/$D$27)</f>
        <v>2.8473551349495345E-12</v>
      </c>
      <c r="J51" s="74">
        <f>-(4*PI()/3)*$F$27^3*($B$9-$B$8)*($B$6/$E$18)*(-ABS(D51)/$D$27^2)</f>
        <v>6.2519168738036346E-11</v>
      </c>
      <c r="K51" s="73">
        <f>SQRT(G51^2*$I$27^2+H51^2*$F$18^2+I51^2*E51^2+J51^2*$E$28^2)</f>
        <v>9.4380739095090726E-16</v>
      </c>
      <c r="L51" s="77">
        <f>K51/F51</f>
        <v>0.52092710191855074</v>
      </c>
    </row>
    <row r="52" spans="1:12" x14ac:dyDescent="0.25">
      <c r="A52" s="78">
        <v>7</v>
      </c>
      <c r="B52" s="81">
        <v>88.38</v>
      </c>
      <c r="C52" s="73">
        <f>B52-B51</f>
        <v>0.78999999999999204</v>
      </c>
      <c r="D52" s="74">
        <f t="shared" ref="D52:D55" si="16">$B$12/C52</f>
        <v>6.329113924050697E-4</v>
      </c>
      <c r="E52" s="74">
        <f t="shared" ref="E52:E54" si="17">SQRT(2)*D52*$B$13/C52</f>
        <v>2.8325059332901854E-4</v>
      </c>
      <c r="F52" s="74">
        <f t="shared" ref="F52:F55" si="18">-(4*PI()/3)*$F$27^3*($B$9-$B$8)*($B$6/$E$18)*(1-ABS(D52)/$D$27)</f>
        <v>1.7156707513534731E-15</v>
      </c>
      <c r="G52" s="74">
        <f t="shared" ref="G52:G55" si="19">F52*3/$F$27</f>
        <v>1.0194904165702101E-8</v>
      </c>
      <c r="H52" s="74">
        <f t="shared" ref="H52:H55" si="20">F52/$E$18</f>
        <v>3.2679442882923299E-17</v>
      </c>
      <c r="I52" s="73">
        <f t="shared" ref="I52:I55" si="21">-(4*PI()/3)*$F$27^3*($B$9-$B$8)*($B$6/$E$18)*(-1/$D$27)</f>
        <v>2.8473551349495345E-12</v>
      </c>
      <c r="J52" s="74">
        <f t="shared" ref="J52:J55" si="22">-(4*PI()/3)*$F$27^3*($B$9-$B$8)*($B$6/$E$18)*(-ABS(D52)/$D$27^2)</f>
        <v>5.9353641206997123E-11</v>
      </c>
      <c r="K52" s="73">
        <f t="shared" ref="K52:K55" si="23">SQRT(G52^2*$I$27^2+H52^2*$F$18^2+I52^2*E52^2+J52^2*$E$28^2)</f>
        <v>8.5510968447733169E-16</v>
      </c>
      <c r="L52" s="77">
        <f t="shared" ref="L52:L55" si="24">K52/F52</f>
        <v>0.4984112970409651</v>
      </c>
    </row>
    <row r="53" spans="1:12" x14ac:dyDescent="0.25">
      <c r="A53" s="78">
        <v>8</v>
      </c>
      <c r="B53" s="81">
        <v>89.14</v>
      </c>
      <c r="C53" s="73">
        <f>B53-B52</f>
        <v>0.76000000000000512</v>
      </c>
      <c r="D53" s="74">
        <f t="shared" si="16"/>
        <v>6.578947368421008E-4</v>
      </c>
      <c r="E53" s="74">
        <f t="shared" si="17"/>
        <v>3.0605383534735892E-4</v>
      </c>
      <c r="F53" s="74">
        <f t="shared" si="18"/>
        <v>1.7868072054244664E-15</v>
      </c>
      <c r="G53" s="74">
        <f t="shared" si="19"/>
        <v>1.0617613086612201E-8</v>
      </c>
      <c r="H53" s="74">
        <f t="shared" si="20"/>
        <v>3.4034422960466024E-17</v>
      </c>
      <c r="I53" s="73">
        <f t="shared" si="21"/>
        <v>2.8473551349495345E-12</v>
      </c>
      <c r="J53" s="74">
        <f t="shared" si="22"/>
        <v>6.1696548096745973E-11</v>
      </c>
      <c r="K53" s="73">
        <f t="shared" si="23"/>
        <v>9.2032035843402341E-16</v>
      </c>
      <c r="L53" s="77">
        <f t="shared" si="24"/>
        <v>0.5150641634083829</v>
      </c>
    </row>
    <row r="54" spans="1:12" x14ac:dyDescent="0.25">
      <c r="A54" s="78">
        <v>9</v>
      </c>
      <c r="B54" s="81">
        <v>89.83</v>
      </c>
      <c r="C54" s="73">
        <f>B54-B53</f>
        <v>0.68999999999999773</v>
      </c>
      <c r="D54" s="74">
        <f t="shared" si="16"/>
        <v>7.2463768115942268E-4</v>
      </c>
      <c r="E54" s="74">
        <f t="shared" si="17"/>
        <v>3.7130160742835131E-4</v>
      </c>
      <c r="F54" s="74">
        <f t="shared" si="18"/>
        <v>1.9768480706480438E-15</v>
      </c>
      <c r="G54" s="74">
        <f t="shared" si="19"/>
        <v>1.17468789477881E-8</v>
      </c>
      <c r="H54" s="74">
        <f t="shared" si="20"/>
        <v>3.7654248964724646E-17</v>
      </c>
      <c r="I54" s="73">
        <f t="shared" si="21"/>
        <v>2.8473551349495345E-12</v>
      </c>
      <c r="J54" s="74">
        <f t="shared" si="22"/>
        <v>6.7955618193517994E-11</v>
      </c>
      <c r="K54" s="73">
        <f t="shared" si="23"/>
        <v>1.1067555343428265E-15</v>
      </c>
      <c r="L54" s="77">
        <f t="shared" si="24"/>
        <v>0.55985867137478784</v>
      </c>
    </row>
    <row r="55" spans="1:12" x14ac:dyDescent="0.25">
      <c r="A55" s="78">
        <v>10</v>
      </c>
      <c r="B55" s="81">
        <v>90.5</v>
      </c>
      <c r="C55" s="73">
        <f>B55-B54</f>
        <v>0.67000000000000171</v>
      </c>
      <c r="D55" s="74">
        <f t="shared" si="16"/>
        <v>7.4626865671641607E-4</v>
      </c>
      <c r="E55" s="74">
        <f>SQRT(2)*D55*$B$13/C55</f>
        <v>3.9379972220235246E-4</v>
      </c>
      <c r="F55" s="74">
        <f t="shared" si="18"/>
        <v>2.0384391399742167E-15</v>
      </c>
      <c r="G55" s="74">
        <f t="shared" si="19"/>
        <v>1.2112867030727726E-8</v>
      </c>
      <c r="H55" s="74">
        <f t="shared" si="20"/>
        <v>3.8827412189985083E-17</v>
      </c>
      <c r="I55" s="73">
        <f t="shared" si="21"/>
        <v>2.8473551349495345E-12</v>
      </c>
      <c r="J55" s="74">
        <f t="shared" si="22"/>
        <v>6.9984144109742002E-11</v>
      </c>
      <c r="K55" s="73">
        <f t="shared" si="23"/>
        <v>1.1710001486758239E-15</v>
      </c>
      <c r="L55" s="77">
        <f t="shared" si="24"/>
        <v>0.57445921524575683</v>
      </c>
    </row>
    <row r="56" spans="1:12" x14ac:dyDescent="0.25">
      <c r="L56" s="77"/>
    </row>
    <row r="57" spans="1:12" x14ac:dyDescent="0.25">
      <c r="L57" s="77"/>
    </row>
    <row r="59" spans="1:12" x14ac:dyDescent="0.25">
      <c r="B59" s="73" t="s">
        <v>38</v>
      </c>
    </row>
    <row r="60" spans="1:12" x14ac:dyDescent="0.25">
      <c r="A60" s="74"/>
      <c r="B60" s="73" t="s">
        <v>44</v>
      </c>
      <c r="C60" s="73" t="s">
        <v>45</v>
      </c>
    </row>
    <row r="61" spans="1:12" x14ac:dyDescent="0.25">
      <c r="A61" s="73">
        <v>1</v>
      </c>
      <c r="B61" s="74">
        <f>F41</f>
        <v>1.7813069987729252E-15</v>
      </c>
      <c r="C61" s="73">
        <f>K41</f>
        <v>7.7178460703316686E-16</v>
      </c>
    </row>
    <row r="62" spans="1:12" x14ac:dyDescent="0.25">
      <c r="A62" s="73">
        <v>2</v>
      </c>
      <c r="B62" s="74">
        <f t="shared" ref="B62:B65" si="25">F42</f>
        <v>2.0916324242788517E-15</v>
      </c>
      <c r="C62" s="73">
        <f t="shared" ref="C62:C65" si="26">K42</f>
        <v>1.0567279535887425E-15</v>
      </c>
    </row>
    <row r="63" spans="1:12" x14ac:dyDescent="0.25">
      <c r="A63" s="73">
        <v>3</v>
      </c>
      <c r="B63" s="74">
        <f t="shared" si="25"/>
        <v>1.9116804023878353E-15</v>
      </c>
      <c r="C63" s="73">
        <f t="shared" si="26"/>
        <v>8.8567349039426175E-16</v>
      </c>
    </row>
    <row r="64" spans="1:12" x14ac:dyDescent="0.25">
      <c r="A64" s="73">
        <v>4</v>
      </c>
      <c r="B64" s="74">
        <f t="shared" si="25"/>
        <v>1.9846895084121847E-15</v>
      </c>
      <c r="C64" s="73">
        <f t="shared" si="26"/>
        <v>9.5313487545583704E-16</v>
      </c>
    </row>
    <row r="65" spans="1:3" x14ac:dyDescent="0.25">
      <c r="A65" s="73">
        <v>5</v>
      </c>
      <c r="B65" s="74">
        <f t="shared" si="25"/>
        <v>1.9597127089827902E-15</v>
      </c>
      <c r="C65" s="73">
        <f t="shared" si="26"/>
        <v>9.2975827498763683E-16</v>
      </c>
    </row>
    <row r="66" spans="1:3" x14ac:dyDescent="0.25">
      <c r="A66" s="73">
        <v>6</v>
      </c>
      <c r="B66" s="74">
        <f>F51</f>
        <v>1.8117840048538609E-15</v>
      </c>
      <c r="C66" s="73">
        <f>K51</f>
        <v>9.4380739095090726E-16</v>
      </c>
    </row>
    <row r="67" spans="1:3" x14ac:dyDescent="0.25">
      <c r="A67" s="73">
        <v>7</v>
      </c>
      <c r="B67" s="74">
        <f t="shared" ref="B67:B70" si="27">F52</f>
        <v>1.7156707513534731E-15</v>
      </c>
      <c r="C67" s="73">
        <f t="shared" ref="C67:C70" si="28">K52</f>
        <v>8.5510968447733169E-16</v>
      </c>
    </row>
    <row r="68" spans="1:3" x14ac:dyDescent="0.25">
      <c r="A68" s="73">
        <v>8</v>
      </c>
      <c r="B68" s="74">
        <f t="shared" si="27"/>
        <v>1.7868072054244664E-15</v>
      </c>
      <c r="C68" s="73">
        <f t="shared" si="28"/>
        <v>9.2032035843402341E-16</v>
      </c>
    </row>
    <row r="69" spans="1:3" x14ac:dyDescent="0.25">
      <c r="A69" s="73">
        <v>9</v>
      </c>
      <c r="B69" s="74">
        <f t="shared" si="27"/>
        <v>1.9768480706480438E-15</v>
      </c>
      <c r="C69" s="73">
        <f t="shared" si="28"/>
        <v>1.1067555343428265E-15</v>
      </c>
    </row>
    <row r="70" spans="1:3" x14ac:dyDescent="0.25">
      <c r="A70" s="73">
        <v>10</v>
      </c>
      <c r="B70" s="74">
        <f t="shared" si="27"/>
        <v>2.0384391399742167E-15</v>
      </c>
      <c r="C70" s="73">
        <f t="shared" si="28"/>
        <v>1.1710001486758239E-15</v>
      </c>
    </row>
  </sheetData>
  <mergeCells count="2">
    <mergeCell ref="A1:C2"/>
    <mergeCell ref="A14:C15"/>
  </mergeCells>
  <conditionalFormatting sqref="C32:G36">
    <cfRule type="cellIs" dxfId="41" priority="5" operator="notBetween">
      <formula>-1.96</formula>
      <formula>1.96</formula>
    </cfRule>
  </conditionalFormatting>
  <conditionalFormatting sqref="L41:L47">
    <cfRule type="cellIs" priority="4" operator="greaterThan">
      <formula>0.04</formula>
    </cfRule>
  </conditionalFormatting>
  <conditionalFormatting sqref="L51:L57">
    <cfRule type="cellIs" priority="2" operator="greaterThan">
      <formula>0.04</formula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3" operator="greaterThan" id="{1C28A85E-0D34-4E7E-95F2-4ED8D0DD5917}">
            <xm:f>Dati!$B$14</xm:f>
            <x14:dxf>
              <fill>
                <patternFill>
                  <bgColor theme="5"/>
                </patternFill>
              </fill>
            </x14:dxf>
          </x14:cfRule>
          <xm:sqref>L41:L47</xm:sqref>
        </x14:conditionalFormatting>
        <x14:conditionalFormatting xmlns:xm="http://schemas.microsoft.com/office/excel/2006/main">
          <x14:cfRule type="cellIs" priority="1" operator="greaterThan" id="{2A97FC4A-86AC-42AC-944C-1E1FD46AF8B9}">
            <xm:f>Dati!$B$14</xm:f>
            <x14:dxf>
              <fill>
                <patternFill>
                  <bgColor theme="5"/>
                </patternFill>
              </fill>
            </x14:dxf>
          </x14:cfRule>
          <xm:sqref>L51:L57</xm:sqref>
        </x14:conditionalFormatting>
      </x14:conditionalFormatting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workbookViewId="0">
      <selection activeCell="C23" sqref="C23"/>
    </sheetView>
  </sheetViews>
  <sheetFormatPr defaultRowHeight="15" x14ac:dyDescent="0.25"/>
  <cols>
    <col min="1" max="1" width="13.140625" style="81" customWidth="1"/>
    <col min="2" max="2" width="9.140625" style="81"/>
    <col min="3" max="5" width="12" style="81" customWidth="1"/>
    <col min="6" max="7" width="12.140625" style="81" customWidth="1"/>
    <col min="8" max="9" width="12" style="81" customWidth="1"/>
    <col min="10" max="10" width="9.140625" style="81"/>
    <col min="11" max="11" width="12" style="81" customWidth="1"/>
    <col min="12" max="16384" width="9.140625" style="81"/>
  </cols>
  <sheetData>
    <row r="1" spans="1:5" x14ac:dyDescent="0.25">
      <c r="A1" s="187" t="str">
        <f>[1]Dati!A1</f>
        <v>Costanti varie</v>
      </c>
      <c r="B1" s="187"/>
      <c r="C1" s="187"/>
    </row>
    <row r="2" spans="1:5" x14ac:dyDescent="0.25">
      <c r="A2" s="187"/>
      <c r="B2" s="187"/>
      <c r="C2" s="187"/>
    </row>
    <row r="4" spans="1:5" x14ac:dyDescent="0.25">
      <c r="B4" s="81" t="s">
        <v>1</v>
      </c>
      <c r="C4" s="81" t="s">
        <v>2</v>
      </c>
    </row>
    <row r="5" spans="1:5" x14ac:dyDescent="0.25">
      <c r="A5" s="81" t="str">
        <f>[1]Dati!A5</f>
        <v>d</v>
      </c>
      <c r="B5" s="82">
        <v>7.6</v>
      </c>
      <c r="C5" s="81">
        <f>[1]Dati!C5</f>
        <v>1.0000000000000001E-5</v>
      </c>
    </row>
    <row r="6" spans="1:5" x14ac:dyDescent="0.25">
      <c r="A6" s="81" t="str">
        <f>[1]Dati!A6</f>
        <v>g</v>
      </c>
      <c r="B6" s="81">
        <f>[1]Dati!B6</f>
        <v>9.8059999999999992</v>
      </c>
      <c r="C6" s="81">
        <f>[1]Dati!C6</f>
        <v>0</v>
      </c>
    </row>
    <row r="7" spans="1:5" x14ac:dyDescent="0.25">
      <c r="A7" s="81" t="str">
        <f>[1]Dati!A7</f>
        <v>pressione</v>
      </c>
      <c r="B7" s="81">
        <f>[1]Dati!B7</f>
        <v>101325</v>
      </c>
      <c r="C7" s="81">
        <f>[1]Dati!C7</f>
        <v>0</v>
      </c>
    </row>
    <row r="8" spans="1:5" x14ac:dyDescent="0.25">
      <c r="A8" s="81" t="str">
        <f>[1]Dati!A8</f>
        <v>densità aria</v>
      </c>
      <c r="B8" s="81">
        <v>0</v>
      </c>
      <c r="C8" s="81">
        <f>[1]Dati!C8</f>
        <v>0</v>
      </c>
    </row>
    <row r="9" spans="1:5" x14ac:dyDescent="0.25">
      <c r="A9" s="81" t="str">
        <f>[1]Dati!A9</f>
        <v>densità olio</v>
      </c>
      <c r="B9" s="81">
        <v>858.7</v>
      </c>
      <c r="C9" s="81">
        <f>[1]Dati!C9</f>
        <v>0</v>
      </c>
    </row>
    <row r="10" spans="1:5" x14ac:dyDescent="0.25">
      <c r="A10" s="81" t="str">
        <f>[1]Dati!A10</f>
        <v>cst corr vis</v>
      </c>
      <c r="B10" s="81">
        <f>[1]Dati!B10</f>
        <v>8.2000000000000007E-3</v>
      </c>
      <c r="C10" s="81">
        <f>[1]Dati!C10</f>
        <v>0</v>
      </c>
    </row>
    <row r="11" spans="1:5" x14ac:dyDescent="0.25">
      <c r="A11" s="81" t="str">
        <f>[1]Dati!A11</f>
        <v>e</v>
      </c>
      <c r="B11" s="81">
        <f>[1]Dati!B11</f>
        <v>1.6021766200000001E-19</v>
      </c>
      <c r="C11" s="81">
        <f>[1]Dati!C11</f>
        <v>0</v>
      </c>
    </row>
    <row r="12" spans="1:5" x14ac:dyDescent="0.25">
      <c r="A12" s="81" t="str">
        <f>[1]Dati!A12</f>
        <v>deltax</v>
      </c>
      <c r="B12" s="81">
        <f>[1]Dati!B12</f>
        <v>5.0000000000000001E-4</v>
      </c>
      <c r="C12" s="81">
        <f>[1]Dati!C12</f>
        <v>0</v>
      </c>
    </row>
    <row r="13" spans="1:5" x14ac:dyDescent="0.25">
      <c r="A13" s="81" t="s">
        <v>30</v>
      </c>
      <c r="B13" s="81">
        <f>Dati!B13</f>
        <v>0.25</v>
      </c>
    </row>
    <row r="14" spans="1:5" x14ac:dyDescent="0.25">
      <c r="A14" s="187" t="s">
        <v>17</v>
      </c>
      <c r="B14" s="187"/>
      <c r="C14" s="187"/>
      <c r="D14" s="84"/>
    </row>
    <row r="15" spans="1:5" x14ac:dyDescent="0.25">
      <c r="A15" s="187"/>
      <c r="B15" s="187"/>
      <c r="C15" s="187"/>
      <c r="D15" s="84"/>
    </row>
    <row r="16" spans="1:5" x14ac:dyDescent="0.25">
      <c r="A16" s="81" t="s">
        <v>18</v>
      </c>
      <c r="B16" s="81">
        <v>399</v>
      </c>
      <c r="C16" s="81">
        <f>B16/100</f>
        <v>3.99</v>
      </c>
      <c r="D16" s="81" t="s">
        <v>19</v>
      </c>
      <c r="E16" s="81">
        <f>(1.8+(B18-15)*0.004765)*0.00001</f>
        <v>1.8262075000000001E-5</v>
      </c>
    </row>
    <row r="17" spans="1:10" x14ac:dyDescent="0.25">
      <c r="A17" s="81" t="s">
        <v>20</v>
      </c>
      <c r="E17" s="83"/>
    </row>
    <row r="18" spans="1:10" x14ac:dyDescent="0.25">
      <c r="A18" s="81" t="s">
        <v>21</v>
      </c>
      <c r="B18" s="81">
        <v>20.5</v>
      </c>
      <c r="C18" s="81">
        <v>0.5</v>
      </c>
      <c r="D18" s="81" t="s">
        <v>22</v>
      </c>
      <c r="E18" s="82">
        <f>B16/B5</f>
        <v>52.5</v>
      </c>
      <c r="F18" s="81">
        <f>SQRT((C16/B5)^2+(B16*C5/B5^2)^2)</f>
        <v>0.52500000454466755</v>
      </c>
      <c r="G18" s="82"/>
    </row>
    <row r="21" spans="1:10" x14ac:dyDescent="0.25">
      <c r="B21" s="81" t="s">
        <v>23</v>
      </c>
      <c r="C21" s="81" t="s">
        <v>27</v>
      </c>
      <c r="D21" s="81" t="s">
        <v>24</v>
      </c>
      <c r="E21" s="81" t="s">
        <v>29</v>
      </c>
      <c r="F21" s="81" t="s">
        <v>25</v>
      </c>
      <c r="G21" s="81" t="s">
        <v>26</v>
      </c>
      <c r="H21" s="81" t="s">
        <v>28</v>
      </c>
      <c r="I21" s="81" t="s">
        <v>31</v>
      </c>
      <c r="J21" s="81" t="s">
        <v>32</v>
      </c>
    </row>
    <row r="22" spans="1:10" x14ac:dyDescent="0.25">
      <c r="A22" s="81">
        <v>1</v>
      </c>
      <c r="B22" s="87">
        <v>14.25</v>
      </c>
      <c r="C22" s="81">
        <f>B22</f>
        <v>14.25</v>
      </c>
      <c r="D22" s="82">
        <f>B12/B22</f>
        <v>3.5087719298245611E-5</v>
      </c>
      <c r="E22" s="82">
        <f>SQRT(2)*D22*$B$13/C22</f>
        <v>8.7055313165472142E-7</v>
      </c>
      <c r="F22" s="5">
        <f>(($B$10/(2*$B$7))^2+9*$E$16*D22/(2*$B$6*($B$9-$B$8)))^(1/2)-$B$10/(2*$B$7)</f>
        <v>5.4611714875011343E-7</v>
      </c>
      <c r="G22" s="81">
        <f>(($B$10/(2*$B$7))^2+9*$E$16*D22/(2*$B$6*($B$9-$B$8)))^(-1/2)*(9*$E$16)/(4*$B$6*$B$9)</f>
        <v>8.3190032651505354E-3</v>
      </c>
      <c r="H22" s="81">
        <f>(($B$10/(2*$B$7))^2+9*$E$16*D22/(2*$B$6*($B$9-$B$8)))^(-1/2)*((9*D22)/(4*$B$6*$B$9))*0.00000004765</f>
        <v>7.616215391530739E-10</v>
      </c>
      <c r="I22" s="81">
        <f>SQRT(G22^2*E22^2+H22^2*$C$18^2+$F$28^2)</f>
        <v>3.5472092888468348E-8</v>
      </c>
      <c r="J22" s="82">
        <f>I22/F22</f>
        <v>6.495326683963791E-2</v>
      </c>
    </row>
    <row r="23" spans="1:10" x14ac:dyDescent="0.25">
      <c r="A23" s="81">
        <v>2</v>
      </c>
      <c r="B23" s="87">
        <v>28.09</v>
      </c>
      <c r="C23" s="81">
        <f>B23-B22</f>
        <v>13.84</v>
      </c>
      <c r="D23" s="82">
        <f>$B$12/(B23-B22)</f>
        <v>3.6127167630057806E-5</v>
      </c>
      <c r="E23" s="82">
        <f t="shared" ref="E23:E25" si="0">SQRT(2)*D23*$B$13/C23</f>
        <v>9.2289614220653932E-7</v>
      </c>
      <c r="F23" s="5">
        <f>(($B$10/(2*$B$7))^2+9*E16*D23/(2*$B$6*($B$9-$B$8)))^(1/2)-$B$10/(2*$B$7)</f>
        <v>5.5470150861517401E-7</v>
      </c>
      <c r="G23" s="81">
        <f t="shared" ref="G23:G27" si="1">(($B$10/(2*$B$7))^2+9*$E$16*D23/(2*$B$6*($B$9-$B$8)))^(-1/2)*(9*$E$16)/(4*$B$6*$B$9)</f>
        <v>8.1990142297660978E-3</v>
      </c>
      <c r="H23" s="81">
        <f t="shared" ref="H23:H27" si="2">(($B$10/(2*$B$7))^2+9*$E$16*D23/(2*$B$6*($B$9-$B$8)))^(-1/2)*((9*D23)/(4*$B$6*$B$9))*0.00000004765</f>
        <v>7.7287335883362003E-10</v>
      </c>
      <c r="I23" s="81">
        <f t="shared" ref="I23:I27" si="3">SQRT(G23^2*E23^2+H23^2*$C$18^2+$F$28^2)</f>
        <v>3.5539868133169736E-8</v>
      </c>
      <c r="J23" s="82">
        <f t="shared" ref="J23:J27" si="4">I23/F23</f>
        <v>6.4070256852006569E-2</v>
      </c>
    </row>
    <row r="24" spans="1:10" x14ac:dyDescent="0.25">
      <c r="A24" s="81">
        <v>3</v>
      </c>
      <c r="B24" s="87">
        <v>39.75</v>
      </c>
      <c r="C24" s="81">
        <f t="shared" ref="C24:C26" si="5">B24-B23</f>
        <v>11.66</v>
      </c>
      <c r="D24" s="82">
        <f>$B$12/(B24-B23)</f>
        <v>4.2881646655231564E-5</v>
      </c>
      <c r="E24" s="82">
        <f t="shared" si="0"/>
        <v>1.3002531362932965E-6</v>
      </c>
      <c r="F24" s="5">
        <f>(($B$10/(2*$B$7))^2+9*E16*D24/(2*$B$6*($B$9-$B$8)))^(1/2)-$B$10/(2*$B$7)</f>
        <v>6.077200761593972E-7</v>
      </c>
      <c r="G24" s="81">
        <f t="shared" si="1"/>
        <v>7.5283712694055194E-3</v>
      </c>
      <c r="H24" s="81">
        <f t="shared" si="2"/>
        <v>8.4233581260846439E-10</v>
      </c>
      <c r="I24" s="81">
        <f t="shared" si="3"/>
        <v>3.6078714043435628E-8</v>
      </c>
      <c r="J24" s="82">
        <f t="shared" si="4"/>
        <v>5.9367322981070385E-2</v>
      </c>
    </row>
    <row r="25" spans="1:10" x14ac:dyDescent="0.25">
      <c r="A25" s="81">
        <v>4</v>
      </c>
      <c r="B25" s="87">
        <v>55.67</v>
      </c>
      <c r="C25" s="81">
        <f t="shared" si="5"/>
        <v>15.920000000000002</v>
      </c>
      <c r="D25" s="82">
        <f>$B$12/(B25-B24)</f>
        <v>3.1407035175879393E-5</v>
      </c>
      <c r="E25" s="82">
        <f t="shared" si="0"/>
        <v>6.974914431478879E-7</v>
      </c>
      <c r="F25" s="5">
        <f>(($B$10/(2*$B$7))^2+9*E16*D25/(2*$B$6*($B$9-$B$8)))^(1/2)-$B$10/(2*$B$7)</f>
        <v>5.1465369588359087E-7</v>
      </c>
      <c r="G25" s="81">
        <f t="shared" si="1"/>
        <v>8.7905152308862238E-3</v>
      </c>
      <c r="H25" s="81">
        <f t="shared" si="2"/>
        <v>7.2036740644267287E-10</v>
      </c>
      <c r="I25" s="81">
        <f t="shared" si="3"/>
        <v>3.526185660775448E-8</v>
      </c>
      <c r="J25" s="82">
        <f t="shared" si="4"/>
        <v>6.8515696845846283E-2</v>
      </c>
    </row>
    <row r="26" spans="1:10" x14ac:dyDescent="0.25">
      <c r="A26" s="81">
        <v>5</v>
      </c>
      <c r="B26" s="87">
        <v>68.55</v>
      </c>
      <c r="C26" s="81">
        <f t="shared" si="5"/>
        <v>12.879999999999995</v>
      </c>
      <c r="D26" s="82">
        <f>$B$12/(B26-B25)</f>
        <v>3.8819875776397531E-5</v>
      </c>
      <c r="E26" s="82">
        <f>SQRT(2)*D26*$B$13/C26</f>
        <v>1.0655977254002367E-6</v>
      </c>
      <c r="F26" s="5">
        <f>(($B$10/(2*$B$7))^2+9*E16*D26/(2*$B$6*($B$9-$B$8)))^(1/2)-$B$10/(2*$B$7)</f>
        <v>5.763840995723999E-7</v>
      </c>
      <c r="G26" s="81">
        <f t="shared" si="1"/>
        <v>7.9108137570474083E-3</v>
      </c>
      <c r="H26" s="81">
        <f t="shared" si="2"/>
        <v>8.0128697695599636E-10</v>
      </c>
      <c r="I26" s="81">
        <f t="shared" si="3"/>
        <v>3.5733695101445761E-8</v>
      </c>
      <c r="J26" s="82">
        <f t="shared" si="4"/>
        <v>6.1996323507111657E-2</v>
      </c>
    </row>
    <row r="27" spans="1:10" x14ac:dyDescent="0.25">
      <c r="A27" s="7" t="s">
        <v>34</v>
      </c>
      <c r="B27" s="7"/>
      <c r="C27" s="7">
        <f>AVERAGE(C22:C26)</f>
        <v>13.709999999999999</v>
      </c>
      <c r="D27" s="7">
        <f>AVERAGE(D22:D26)</f>
        <v>3.686468890716238E-5</v>
      </c>
      <c r="E27" s="8">
        <f>SQRT(2)*D27*$B$13/C27</f>
        <v>9.5066635713300577E-7</v>
      </c>
      <c r="F27" s="9">
        <f>AVERAGE(F22:F26)</f>
        <v>5.5991530579613512E-7</v>
      </c>
      <c r="G27" s="7">
        <f t="shared" si="1"/>
        <v>8.1169597451514648E-3</v>
      </c>
      <c r="H27" s="7">
        <f t="shared" si="2"/>
        <v>7.8075854926329904E-10</v>
      </c>
      <c r="I27" s="7">
        <f t="shared" si="3"/>
        <v>3.5572080802015656E-8</v>
      </c>
      <c r="J27" s="8">
        <f t="shared" si="4"/>
        <v>6.3531181294349953E-2</v>
      </c>
    </row>
    <row r="28" spans="1:10" x14ac:dyDescent="0.25">
      <c r="A28" s="81" t="s">
        <v>35</v>
      </c>
      <c r="C28" s="6">
        <f>_xlfn.STDEV.S(C22:C26)</f>
        <v>1.5877657257920599</v>
      </c>
      <c r="D28" s="82">
        <f>_xlfn.STDEV.S(D22:D26)</f>
        <v>4.2870175854392708E-6</v>
      </c>
      <c r="E28" s="8">
        <f>SQRT(2)*D28*$B$13/C28</f>
        <v>9.5460531629056253E-7</v>
      </c>
      <c r="F28" s="82">
        <f>_xlfn.STDEV.S(F22:F26)</f>
        <v>3.4722843304932416E-8</v>
      </c>
    </row>
    <row r="30" spans="1:10" x14ac:dyDescent="0.25">
      <c r="A30" s="81" t="s">
        <v>31</v>
      </c>
      <c r="C30" s="81">
        <f t="array" ref="C30:G31">TRANSPOSE(A32:B36)</f>
        <v>3.5472092888468348E-8</v>
      </c>
      <c r="D30" s="81">
        <v>3.5539868133169736E-8</v>
      </c>
      <c r="E30" s="81">
        <v>3.6078714043435628E-8</v>
      </c>
      <c r="F30" s="81">
        <v>3.526185660775448E-8</v>
      </c>
      <c r="G30" s="81">
        <v>3.5733695101445761E-8</v>
      </c>
    </row>
    <row r="31" spans="1:10" x14ac:dyDescent="0.25">
      <c r="B31" s="81" t="s">
        <v>25</v>
      </c>
      <c r="C31" s="81">
        <v>5.4611714875011343E-7</v>
      </c>
      <c r="D31" s="81">
        <v>5.5470150861517401E-7</v>
      </c>
      <c r="E31" s="81">
        <v>6.077200761593972E-7</v>
      </c>
      <c r="F31" s="81">
        <v>5.1465369588359087E-7</v>
      </c>
      <c r="G31" s="81">
        <v>5.763840995723999E-7</v>
      </c>
    </row>
    <row r="32" spans="1:10" x14ac:dyDescent="0.25">
      <c r="A32" s="81">
        <f>I22</f>
        <v>3.5472092888468348E-8</v>
      </c>
      <c r="B32" s="5">
        <f>F22</f>
        <v>5.4611714875011343E-7</v>
      </c>
      <c r="C32" s="81">
        <f t="shared" ref="C32:G36" si="6">(C$31-$B32)/SQRT(C$30^2+$A32^2)</f>
        <v>0</v>
      </c>
      <c r="D32" s="81">
        <f t="shared" si="6"/>
        <v>0.17095870106220287</v>
      </c>
      <c r="E32" s="81">
        <f t="shared" si="6"/>
        <v>1.217548316521764</v>
      </c>
      <c r="F32" s="81">
        <f t="shared" si="6"/>
        <v>-0.62905925006528518</v>
      </c>
      <c r="G32" s="81">
        <f t="shared" si="6"/>
        <v>0.60112590118712461</v>
      </c>
    </row>
    <row r="33" spans="1:12" x14ac:dyDescent="0.25">
      <c r="A33" s="81">
        <f>I23</f>
        <v>3.5539868133169736E-8</v>
      </c>
      <c r="B33" s="5">
        <f>F23</f>
        <v>5.5470150861517401E-7</v>
      </c>
      <c r="C33" s="81">
        <f t="shared" si="6"/>
        <v>-0.17095870106220287</v>
      </c>
      <c r="D33" s="81">
        <f t="shared" si="6"/>
        <v>0</v>
      </c>
      <c r="E33" s="81">
        <f t="shared" si="6"/>
        <v>1.0468994619611056</v>
      </c>
      <c r="F33" s="81">
        <f t="shared" si="6"/>
        <v>-0.79992010791512058</v>
      </c>
      <c r="G33" s="81">
        <f t="shared" si="6"/>
        <v>0.43022544994201611</v>
      </c>
    </row>
    <row r="34" spans="1:12" x14ac:dyDescent="0.25">
      <c r="A34" s="81">
        <f>I24</f>
        <v>3.6078714043435628E-8</v>
      </c>
      <c r="B34" s="5">
        <f>F24</f>
        <v>6.077200761593972E-7</v>
      </c>
      <c r="C34" s="81">
        <f t="shared" si="6"/>
        <v>-1.217548316521764</v>
      </c>
      <c r="D34" s="81">
        <f t="shared" si="6"/>
        <v>-1.0468994619611056</v>
      </c>
      <c r="E34" s="81">
        <f t="shared" si="6"/>
        <v>0</v>
      </c>
      <c r="F34" s="81">
        <f t="shared" si="6"/>
        <v>-1.8447723236718343</v>
      </c>
      <c r="G34" s="81">
        <f t="shared" si="6"/>
        <v>-0.61709740909717126</v>
      </c>
    </row>
    <row r="35" spans="1:12" x14ac:dyDescent="0.25">
      <c r="A35" s="81">
        <f>I25</f>
        <v>3.526185660775448E-8</v>
      </c>
      <c r="B35" s="5">
        <f>F25</f>
        <v>5.1465369588359087E-7</v>
      </c>
      <c r="C35" s="81">
        <f t="shared" si="6"/>
        <v>0.62905925006528518</v>
      </c>
      <c r="D35" s="81">
        <f t="shared" si="6"/>
        <v>0.79992010791512058</v>
      </c>
      <c r="E35" s="81">
        <f t="shared" si="6"/>
        <v>1.8447723236718343</v>
      </c>
      <c r="F35" s="81">
        <f t="shared" si="6"/>
        <v>0</v>
      </c>
      <c r="G35" s="81">
        <f t="shared" si="6"/>
        <v>1.2296269845474279</v>
      </c>
    </row>
    <row r="36" spans="1:12" x14ac:dyDescent="0.25">
      <c r="A36" s="81">
        <f>I26</f>
        <v>3.5733695101445761E-8</v>
      </c>
      <c r="B36" s="5">
        <f>F26</f>
        <v>5.763840995723999E-7</v>
      </c>
      <c r="C36" s="81">
        <f t="shared" si="6"/>
        <v>-0.60112590118712461</v>
      </c>
      <c r="D36" s="81">
        <f t="shared" si="6"/>
        <v>-0.43022544994201611</v>
      </c>
      <c r="E36" s="81">
        <f t="shared" si="6"/>
        <v>0.61709740909717126</v>
      </c>
      <c r="F36" s="81">
        <f t="shared" si="6"/>
        <v>-1.2296269845474279</v>
      </c>
      <c r="G36" s="81">
        <f t="shared" si="6"/>
        <v>0</v>
      </c>
    </row>
    <row r="39" spans="1:12" x14ac:dyDescent="0.25">
      <c r="A39" s="81" t="s">
        <v>7</v>
      </c>
    </row>
    <row r="40" spans="1:12" x14ac:dyDescent="0.25">
      <c r="B40" s="81" t="s">
        <v>36</v>
      </c>
      <c r="C40" s="81" t="s">
        <v>27</v>
      </c>
      <c r="D40" s="81" t="s">
        <v>24</v>
      </c>
      <c r="E40" s="81" t="s">
        <v>29</v>
      </c>
      <c r="F40" s="81" t="s">
        <v>37</v>
      </c>
      <c r="G40" s="81" t="s">
        <v>39</v>
      </c>
      <c r="H40" s="81" t="s">
        <v>40</v>
      </c>
      <c r="I40" s="81" t="s">
        <v>41</v>
      </c>
      <c r="J40" s="81" t="s">
        <v>42</v>
      </c>
      <c r="K40" s="81" t="s">
        <v>2</v>
      </c>
      <c r="L40" s="81" t="s">
        <v>43</v>
      </c>
    </row>
    <row r="41" spans="1:12" x14ac:dyDescent="0.25">
      <c r="A41" s="86">
        <v>1</v>
      </c>
      <c r="B41" s="88">
        <v>70</v>
      </c>
      <c r="C41" s="81">
        <f>B41-B26</f>
        <v>1.4500000000000028</v>
      </c>
      <c r="D41" s="82">
        <f>$B$12/C41</f>
        <v>3.4482758620689587E-4</v>
      </c>
      <c r="E41" s="82">
        <f>SQRT(2)*D41*$B$13/C41</f>
        <v>8.407928432658084E-5</v>
      </c>
      <c r="F41" s="82">
        <f>(4*PI()/3)*$F$27^3*($B$9-$B$8)*($B$6/$E$18)*(1+ABS(D41)/$D$27)</f>
        <v>1.2210472599822842E-15</v>
      </c>
      <c r="G41" s="82">
        <f>F41*3/$F$27</f>
        <v>6.5423140643356521E-9</v>
      </c>
      <c r="H41" s="82">
        <f>F41/$E$18</f>
        <v>2.3258043047281604E-17</v>
      </c>
      <c r="I41" s="81">
        <f>(4*PI()/3)*$F$27^3*($B$9-$B$8)*($B$6/$E$18)*(1/$D$27)</f>
        <v>3.1990358191488358E-12</v>
      </c>
      <c r="J41" s="82">
        <f>(4*PI()/3)*$F$27^3*($B$9-$B$8)*($B$6/$E$18)*(ABS(D41)/$D$27^2)</f>
        <v>2.9923371996560383E-11</v>
      </c>
      <c r="K41" s="81">
        <f>SQRT(G41^2*$I$27^2+H41^2*$F$18^2+I41^2*E41^2+J41^2*$E$28^2)</f>
        <v>3.570317488051386E-16</v>
      </c>
      <c r="L41" s="85">
        <f>K41/F41</f>
        <v>0.29239797713506899</v>
      </c>
    </row>
    <row r="42" spans="1:12" x14ac:dyDescent="0.25">
      <c r="A42" s="86">
        <v>2</v>
      </c>
      <c r="B42" s="88">
        <v>71.44</v>
      </c>
      <c r="C42" s="81">
        <f>B42-B41</f>
        <v>1.4399999999999977</v>
      </c>
      <c r="D42" s="82">
        <f t="shared" ref="D42:D45" si="7">$B$12/C42</f>
        <v>3.4722222222222278E-4</v>
      </c>
      <c r="E42" s="82">
        <f t="shared" ref="E42:E44" si="8">SQRT(2)*D42*$B$13/C42</f>
        <v>8.5251106913887656E-5</v>
      </c>
      <c r="F42" s="82">
        <f t="shared" ref="F42:F45" si="9">(4*PI()/3)*$F$27^3*($B$9-$B$8)*($B$6/$E$18)*(1+ABS(D42)/$D$27)</f>
        <v>1.2287077863691387E-15</v>
      </c>
      <c r="G42" s="82">
        <f t="shared" ref="G42:G45" si="10">F42*3/$F$27</f>
        <v>6.5833588061433194E-9</v>
      </c>
      <c r="H42" s="82">
        <f t="shared" ref="H42:H45" si="11">F42/$E$18</f>
        <v>2.3403957835602643E-17</v>
      </c>
      <c r="I42" s="81">
        <f t="shared" ref="I42:I45" si="12">(4*PI()/3)*$F$27^3*($B$9-$B$8)*($B$6/$E$18)*(1/$D$27)</f>
        <v>3.1990358191488358E-12</v>
      </c>
      <c r="J42" s="82">
        <f t="shared" ref="J42:J45" si="13">(4*PI()/3)*$F$27^3*($B$9-$B$8)*($B$6/$E$18)*(ABS(D42)/$D$27^2)</f>
        <v>3.0131173190981045E-11</v>
      </c>
      <c r="K42" s="81">
        <f t="shared" ref="K42:K45" si="14">SQRT(G42^2*$I$27^2+H42^2*$F$18^2+I42^2*E42^2+J42^2*$E$28^2)</f>
        <v>3.6082859478583274E-16</v>
      </c>
      <c r="L42" s="85">
        <f t="shared" ref="L42:L45" si="15">K42/F42</f>
        <v>0.29366509986242539</v>
      </c>
    </row>
    <row r="43" spans="1:12" x14ac:dyDescent="0.25">
      <c r="A43" s="86">
        <v>3</v>
      </c>
      <c r="B43" s="88">
        <v>72.97</v>
      </c>
      <c r="C43" s="81">
        <f>B43-B42</f>
        <v>1.5300000000000011</v>
      </c>
      <c r="D43" s="82">
        <f t="shared" si="7"/>
        <v>3.2679738562091479E-4</v>
      </c>
      <c r="E43" s="82">
        <f t="shared" si="8"/>
        <v>7.5516551453131965E-5</v>
      </c>
      <c r="F43" s="82">
        <f t="shared" si="9"/>
        <v>1.1633680024812923E-15</v>
      </c>
      <c r="G43" s="82">
        <f t="shared" si="10"/>
        <v>6.2332713024898483E-9</v>
      </c>
      <c r="H43" s="82">
        <f t="shared" si="11"/>
        <v>2.2159390523453188E-17</v>
      </c>
      <c r="I43" s="81">
        <f t="shared" si="12"/>
        <v>3.1990358191488358E-12</v>
      </c>
      <c r="J43" s="82">
        <f t="shared" si="13"/>
        <v>2.8358751238570333E-11</v>
      </c>
      <c r="K43" s="81">
        <f t="shared" si="14"/>
        <v>3.2923176962191426E-16</v>
      </c>
      <c r="L43" s="85">
        <f t="shared" si="15"/>
        <v>0.28299881801778237</v>
      </c>
    </row>
    <row r="44" spans="1:12" x14ac:dyDescent="0.25">
      <c r="A44" s="86">
        <v>4</v>
      </c>
      <c r="B44" s="88">
        <v>74.31</v>
      </c>
      <c r="C44" s="81">
        <f>B44-B43</f>
        <v>1.3400000000000034</v>
      </c>
      <c r="D44" s="82">
        <f t="shared" si="7"/>
        <v>3.7313432835820804E-4</v>
      </c>
      <c r="E44" s="82">
        <f t="shared" si="8"/>
        <v>9.8449930550588115E-5</v>
      </c>
      <c r="F44" s="82">
        <f t="shared" si="9"/>
        <v>1.3116015420477419E-15</v>
      </c>
      <c r="G44" s="82">
        <f t="shared" si="10"/>
        <v>7.0274996689872348E-9</v>
      </c>
      <c r="H44" s="82">
        <f t="shared" si="11"/>
        <v>2.4982886515195083E-17</v>
      </c>
      <c r="I44" s="81">
        <f t="shared" si="12"/>
        <v>3.1990358191488358E-12</v>
      </c>
      <c r="J44" s="82">
        <f t="shared" si="13"/>
        <v>3.2379768205233233E-11</v>
      </c>
      <c r="K44" s="81">
        <f t="shared" si="14"/>
        <v>4.0349610436877876E-16</v>
      </c>
      <c r="L44" s="85">
        <f t="shared" si="15"/>
        <v>0.30763619242077073</v>
      </c>
    </row>
    <row r="45" spans="1:12" x14ac:dyDescent="0.25">
      <c r="A45" s="86">
        <v>5</v>
      </c>
      <c r="B45" s="88">
        <v>76.03</v>
      </c>
      <c r="C45" s="81">
        <f>B45-B44</f>
        <v>1.7199999999999989</v>
      </c>
      <c r="D45" s="82">
        <f t="shared" si="7"/>
        <v>2.9069767441860486E-4</v>
      </c>
      <c r="E45" s="82">
        <f>SQRT(2)*D45*$B$13/C45</f>
        <v>5.9754156062951981E-5</v>
      </c>
      <c r="F45" s="82">
        <f t="shared" si="9"/>
        <v>1.0478837332841742E-15</v>
      </c>
      <c r="G45" s="82">
        <f t="shared" si="10"/>
        <v>5.6145119937069994E-9</v>
      </c>
      <c r="H45" s="82">
        <f t="shared" si="11"/>
        <v>1.9959690157793794E-17</v>
      </c>
      <c r="I45" s="81">
        <f t="shared" si="12"/>
        <v>3.1990358191488358E-12</v>
      </c>
      <c r="J45" s="82">
        <f t="shared" si="13"/>
        <v>2.5226098485472482E-11</v>
      </c>
      <c r="K45" s="81">
        <f t="shared" si="14"/>
        <v>2.7770168052252795E-16</v>
      </c>
      <c r="L45" s="85">
        <f t="shared" si="15"/>
        <v>0.26501192040855776</v>
      </c>
    </row>
    <row r="46" spans="1:12" x14ac:dyDescent="0.25">
      <c r="L46" s="85"/>
    </row>
    <row r="47" spans="1:12" x14ac:dyDescent="0.25">
      <c r="L47" s="85"/>
    </row>
    <row r="49" spans="1:12" x14ac:dyDescent="0.25">
      <c r="A49" s="81" t="s">
        <v>7</v>
      </c>
    </row>
    <row r="50" spans="1:12" x14ac:dyDescent="0.25">
      <c r="B50" s="81" t="s">
        <v>23</v>
      </c>
      <c r="C50" s="81" t="s">
        <v>27</v>
      </c>
      <c r="D50" s="81" t="s">
        <v>24</v>
      </c>
      <c r="E50" s="81" t="s">
        <v>29</v>
      </c>
      <c r="F50" s="81" t="s">
        <v>37</v>
      </c>
      <c r="G50" s="81" t="s">
        <v>39</v>
      </c>
      <c r="H50" s="81" t="s">
        <v>40</v>
      </c>
      <c r="I50" s="81" t="s">
        <v>41</v>
      </c>
      <c r="J50" s="81" t="s">
        <v>42</v>
      </c>
      <c r="K50" s="81" t="s">
        <v>2</v>
      </c>
      <c r="L50" s="81" t="s">
        <v>43</v>
      </c>
    </row>
    <row r="51" spans="1:12" x14ac:dyDescent="0.25">
      <c r="A51" s="86">
        <v>6</v>
      </c>
      <c r="B51" s="89">
        <v>77.22</v>
      </c>
      <c r="C51" s="81">
        <f>B51-B45</f>
        <v>1.1899999999999977</v>
      </c>
      <c r="D51" s="82">
        <f>$B$12/C51</f>
        <v>4.2016806722689159E-4</v>
      </c>
      <c r="E51" s="82">
        <f>SQRT(2)*D51*$B$13/C51</f>
        <v>1.2483348301436169E-4</v>
      </c>
      <c r="F51" s="82">
        <f>-(4*PI()/3)*$F$27^3*($B$9-$B$8)*($B$6/$E$18)*(1-ABS(D51)/$D$27)</f>
        <v>1.2262012368455711E-15</v>
      </c>
      <c r="G51" s="82">
        <f>F51*3/$F$27</f>
        <v>6.5699288311223462E-9</v>
      </c>
      <c r="H51" s="82">
        <f>F51/$E$18</f>
        <v>2.3356214035153736E-17</v>
      </c>
      <c r="I51" s="81">
        <f>-(4*PI()/3)*$F$27^3*($B$9-$B$8)*($B$6/$E$18)*(-1/$D$27)</f>
        <v>3.1990358191488358E-12</v>
      </c>
      <c r="J51" s="82">
        <f>-(4*PI()/3)*$F$27^3*($B$9-$B$8)*($B$6/$E$18)*(-ABS(D51)/$D$27^2)</f>
        <v>3.6461251592447668E-11</v>
      </c>
      <c r="K51" s="81">
        <f>SQRT(G51^2*$I$27^2+H51^2*$F$18^2+I51^2*E51^2+J51^2*$E$28^2)</f>
        <v>4.6417473887802201E-16</v>
      </c>
      <c r="L51" s="85">
        <f>K51/F51</f>
        <v>0.37854695047618891</v>
      </c>
    </row>
    <row r="52" spans="1:12" x14ac:dyDescent="0.25">
      <c r="A52" s="86">
        <v>7</v>
      </c>
      <c r="B52" s="89">
        <v>78.39</v>
      </c>
      <c r="C52" s="81">
        <f>B52-B51</f>
        <v>1.1700000000000017</v>
      </c>
      <c r="D52" s="82">
        <f t="shared" ref="D52:D55" si="16">$B$12/C52</f>
        <v>4.2735042735042675E-4</v>
      </c>
      <c r="E52" s="82">
        <f t="shared" ref="E52:E54" si="17">SQRT(2)*D52*$B$13/C52</f>
        <v>1.2913777141985273E-4</v>
      </c>
      <c r="F52" s="82">
        <f t="shared" ref="F52:F55" si="18">-(4*PI()/3)*$F$27^3*($B$9-$B$8)*($B$6/$E$18)*(1-ABS(D52)/$D$27)</f>
        <v>1.2491778641467865E-15</v>
      </c>
      <c r="G52" s="82">
        <f t="shared" ref="G52:G55" si="19">F52*3/$F$27</f>
        <v>6.6930365247147472E-9</v>
      </c>
      <c r="H52" s="82">
        <f t="shared" ref="H52:H55" si="20">F52/$E$18</f>
        <v>2.3793864078986408E-17</v>
      </c>
      <c r="I52" s="81">
        <f t="shared" ref="I52:I55" si="21">-(4*PI()/3)*$F$27^3*($B$9-$B$8)*($B$6/$E$18)*(-1/$D$27)</f>
        <v>3.1990358191488358E-12</v>
      </c>
      <c r="J52" s="82">
        <f t="shared" ref="J52:J55" si="22">-(4*PI()/3)*$F$27^3*($B$9-$B$8)*($B$6/$E$18)*(-ABS(D52)/$D$27^2)</f>
        <v>3.7084520850438096E-11</v>
      </c>
      <c r="K52" s="81">
        <f t="shared" ref="K52:K55" si="23">SQRT(G52^2*$I$27^2+H52^2*$F$18^2+I52^2*E52^2+J52^2*$E$28^2)</f>
        <v>4.7828755429648455E-16</v>
      </c>
      <c r="L52" s="85">
        <f t="shared" ref="L52:L55" si="24">K52/F52</f>
        <v>0.38288186816627956</v>
      </c>
    </row>
    <row r="53" spans="1:12" x14ac:dyDescent="0.25">
      <c r="A53" s="86">
        <v>8</v>
      </c>
      <c r="B53" s="89">
        <v>79.63</v>
      </c>
      <c r="C53" s="81">
        <f>B53-B52</f>
        <v>1.2399999999999949</v>
      </c>
      <c r="D53" s="82">
        <f t="shared" si="16"/>
        <v>4.0322580645161458E-4</v>
      </c>
      <c r="E53" s="82">
        <f t="shared" si="17"/>
        <v>1.1496923471425491E-4</v>
      </c>
      <c r="F53" s="82">
        <f t="shared" si="18"/>
        <v>1.1720023377680996E-15</v>
      </c>
      <c r="G53" s="82">
        <f t="shared" si="19"/>
        <v>6.2795336668015198E-9</v>
      </c>
      <c r="H53" s="82">
        <f t="shared" si="20"/>
        <v>2.2323854052725706E-17</v>
      </c>
      <c r="I53" s="81">
        <f t="shared" si="21"/>
        <v>3.1990358191488358E-12</v>
      </c>
      <c r="J53" s="82">
        <f t="shared" si="22"/>
        <v>3.499103983468776E-11</v>
      </c>
      <c r="K53" s="81">
        <f t="shared" si="23"/>
        <v>4.3176378548416693E-16</v>
      </c>
      <c r="L53" s="85">
        <f t="shared" si="24"/>
        <v>0.36839839953424963</v>
      </c>
    </row>
    <row r="54" spans="1:12" x14ac:dyDescent="0.25">
      <c r="A54" s="86">
        <v>9</v>
      </c>
      <c r="B54" s="89">
        <v>80.900000000000006</v>
      </c>
      <c r="C54" s="81">
        <f>B54-B53</f>
        <v>1.2700000000000102</v>
      </c>
      <c r="D54" s="82">
        <f t="shared" si="16"/>
        <v>3.9370078740157165E-4</v>
      </c>
      <c r="E54" s="82">
        <f t="shared" si="17"/>
        <v>1.0960177028745369E-4</v>
      </c>
      <c r="F54" s="82">
        <f t="shared" si="18"/>
        <v>1.1415314606489373E-15</v>
      </c>
      <c r="G54" s="82">
        <f t="shared" si="19"/>
        <v>6.1162721334746021E-9</v>
      </c>
      <c r="H54" s="82">
        <f t="shared" si="20"/>
        <v>2.1743456393313091E-17</v>
      </c>
      <c r="I54" s="81">
        <f t="shared" si="21"/>
        <v>3.1990358191488358E-12</v>
      </c>
      <c r="J54" s="82">
        <f t="shared" si="22"/>
        <v>3.416447983859236E-11</v>
      </c>
      <c r="K54" s="81">
        <f t="shared" si="23"/>
        <v>4.1408259604781277E-16</v>
      </c>
      <c r="L54" s="85">
        <f t="shared" si="24"/>
        <v>0.36274304329064683</v>
      </c>
    </row>
    <row r="55" spans="1:12" x14ac:dyDescent="0.25">
      <c r="A55" s="86">
        <v>10</v>
      </c>
      <c r="B55" s="89">
        <v>82.11</v>
      </c>
      <c r="C55" s="81">
        <f>B55-B54</f>
        <v>1.2099999999999937</v>
      </c>
      <c r="D55" s="82">
        <f t="shared" si="16"/>
        <v>4.1322314049586993E-4</v>
      </c>
      <c r="E55" s="82">
        <f>SQRT(2)*D55*$B$13/C55</f>
        <v>1.2074086148257546E-4</v>
      </c>
      <c r="F55" s="82">
        <f t="shared" si="18"/>
        <v>1.2039841674716684E-15</v>
      </c>
      <c r="G55" s="82">
        <f t="shared" si="19"/>
        <v>6.4508908133511799E-9</v>
      </c>
      <c r="H55" s="82">
        <f t="shared" si="20"/>
        <v>2.2933031761365114E-17</v>
      </c>
      <c r="I55" s="81">
        <f t="shared" si="21"/>
        <v>3.1990358191488358E-12</v>
      </c>
      <c r="J55" s="82">
        <f t="shared" si="22"/>
        <v>3.5858586276870137E-11</v>
      </c>
      <c r="K55" s="81">
        <f t="shared" si="23"/>
        <v>4.5073977019811102E-16</v>
      </c>
      <c r="L55" s="85">
        <f t="shared" si="24"/>
        <v>0.37437350288804161</v>
      </c>
    </row>
    <row r="56" spans="1:12" x14ac:dyDescent="0.25">
      <c r="L56" s="85"/>
    </row>
    <row r="57" spans="1:12" x14ac:dyDescent="0.25">
      <c r="L57" s="85"/>
    </row>
    <row r="59" spans="1:12" x14ac:dyDescent="0.25">
      <c r="B59" s="81" t="s">
        <v>38</v>
      </c>
    </row>
    <row r="60" spans="1:12" x14ac:dyDescent="0.25">
      <c r="A60" s="82"/>
      <c r="B60" s="81" t="s">
        <v>44</v>
      </c>
      <c r="C60" s="81" t="s">
        <v>45</v>
      </c>
    </row>
    <row r="61" spans="1:12" x14ac:dyDescent="0.25">
      <c r="A61" s="81">
        <v>1</v>
      </c>
      <c r="B61" s="82">
        <f>F41</f>
        <v>1.2210472599822842E-15</v>
      </c>
      <c r="C61" s="81">
        <f>K41</f>
        <v>3.570317488051386E-16</v>
      </c>
    </row>
    <row r="62" spans="1:12" x14ac:dyDescent="0.25">
      <c r="A62" s="81">
        <v>2</v>
      </c>
      <c r="B62" s="82">
        <f t="shared" ref="B62:B65" si="25">F42</f>
        <v>1.2287077863691387E-15</v>
      </c>
      <c r="C62" s="81">
        <f t="shared" ref="C62:C65" si="26">K42</f>
        <v>3.6082859478583274E-16</v>
      </c>
    </row>
    <row r="63" spans="1:12" x14ac:dyDescent="0.25">
      <c r="A63" s="81">
        <v>3</v>
      </c>
      <c r="B63" s="82">
        <f t="shared" si="25"/>
        <v>1.1633680024812923E-15</v>
      </c>
      <c r="C63" s="81">
        <f t="shared" si="26"/>
        <v>3.2923176962191426E-16</v>
      </c>
    </row>
    <row r="64" spans="1:12" x14ac:dyDescent="0.25">
      <c r="A64" s="81">
        <v>4</v>
      </c>
      <c r="B64" s="82">
        <f t="shared" si="25"/>
        <v>1.3116015420477419E-15</v>
      </c>
      <c r="C64" s="81">
        <f t="shared" si="26"/>
        <v>4.0349610436877876E-16</v>
      </c>
    </row>
    <row r="65" spans="1:3" x14ac:dyDescent="0.25">
      <c r="A65" s="81">
        <v>5</v>
      </c>
      <c r="B65" s="82">
        <f t="shared" si="25"/>
        <v>1.0478837332841742E-15</v>
      </c>
      <c r="C65" s="81">
        <f t="shared" si="26"/>
        <v>2.7770168052252795E-16</v>
      </c>
    </row>
    <row r="66" spans="1:3" x14ac:dyDescent="0.25">
      <c r="A66" s="81">
        <v>6</v>
      </c>
      <c r="B66" s="82">
        <f>F51</f>
        <v>1.2262012368455711E-15</v>
      </c>
      <c r="C66" s="81">
        <f>K51</f>
        <v>4.6417473887802201E-16</v>
      </c>
    </row>
    <row r="67" spans="1:3" x14ac:dyDescent="0.25">
      <c r="A67" s="81">
        <v>7</v>
      </c>
      <c r="B67" s="82">
        <f t="shared" ref="B67:B70" si="27">F52</f>
        <v>1.2491778641467865E-15</v>
      </c>
      <c r="C67" s="81">
        <f t="shared" ref="C67:C70" si="28">K52</f>
        <v>4.7828755429648455E-16</v>
      </c>
    </row>
    <row r="68" spans="1:3" x14ac:dyDescent="0.25">
      <c r="A68" s="81">
        <v>8</v>
      </c>
      <c r="B68" s="82">
        <f t="shared" si="27"/>
        <v>1.1720023377680996E-15</v>
      </c>
      <c r="C68" s="81">
        <f t="shared" si="28"/>
        <v>4.3176378548416693E-16</v>
      </c>
    </row>
    <row r="69" spans="1:3" x14ac:dyDescent="0.25">
      <c r="A69" s="81">
        <v>9</v>
      </c>
      <c r="B69" s="82">
        <f t="shared" si="27"/>
        <v>1.1415314606489373E-15</v>
      </c>
      <c r="C69" s="81">
        <f t="shared" si="28"/>
        <v>4.1408259604781277E-16</v>
      </c>
    </row>
    <row r="70" spans="1:3" x14ac:dyDescent="0.25">
      <c r="A70" s="81">
        <v>10</v>
      </c>
      <c r="B70" s="82">
        <f t="shared" si="27"/>
        <v>1.2039841674716684E-15</v>
      </c>
      <c r="C70" s="81">
        <f t="shared" si="28"/>
        <v>4.5073977019811102E-16</v>
      </c>
    </row>
  </sheetData>
  <mergeCells count="2">
    <mergeCell ref="A1:C2"/>
    <mergeCell ref="A14:C15"/>
  </mergeCells>
  <conditionalFormatting sqref="C32:G36">
    <cfRule type="cellIs" dxfId="38" priority="5" operator="notBetween">
      <formula>-1.96</formula>
      <formula>1.96</formula>
    </cfRule>
  </conditionalFormatting>
  <conditionalFormatting sqref="L41:L47">
    <cfRule type="cellIs" priority="4" operator="greaterThan">
      <formula>0.04</formula>
    </cfRule>
  </conditionalFormatting>
  <conditionalFormatting sqref="L51:L57">
    <cfRule type="cellIs" priority="2" operator="greaterThan">
      <formula>0.04</formula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3" operator="greaterThan" id="{5E944AB2-7F9F-438B-A909-D13204E7D65C}">
            <xm:f>Dati!$B$14</xm:f>
            <x14:dxf>
              <fill>
                <patternFill>
                  <bgColor theme="5"/>
                </patternFill>
              </fill>
            </x14:dxf>
          </x14:cfRule>
          <xm:sqref>L41:L47</xm:sqref>
        </x14:conditionalFormatting>
        <x14:conditionalFormatting xmlns:xm="http://schemas.microsoft.com/office/excel/2006/main">
          <x14:cfRule type="cellIs" priority="1" operator="greaterThan" id="{ADF5963A-5391-4CD4-A549-389449162C7A}">
            <xm:f>Dati!$B$14</xm:f>
            <x14:dxf>
              <fill>
                <patternFill>
                  <bgColor theme="5"/>
                </patternFill>
              </fill>
            </x14:dxf>
          </x14:cfRule>
          <xm:sqref>L51:L57</xm:sqref>
        </x14:conditionalFormatting>
      </x14:conditionalFormatting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topLeftCell="A7" workbookViewId="0">
      <selection activeCell="C25" sqref="C25"/>
    </sheetView>
  </sheetViews>
  <sheetFormatPr defaultRowHeight="15" x14ac:dyDescent="0.25"/>
  <cols>
    <col min="1" max="1" width="13.140625" style="89" customWidth="1"/>
    <col min="2" max="2" width="9.140625" style="89"/>
    <col min="3" max="5" width="12" style="89" customWidth="1"/>
    <col min="6" max="7" width="12.140625" style="89" customWidth="1"/>
    <col min="8" max="9" width="12" style="89" customWidth="1"/>
    <col min="10" max="10" width="9.140625" style="89"/>
    <col min="11" max="11" width="12" style="89" customWidth="1"/>
    <col min="12" max="16384" width="9.140625" style="89"/>
  </cols>
  <sheetData>
    <row r="1" spans="1:5" x14ac:dyDescent="0.25">
      <c r="A1" s="187" t="str">
        <f>[1]Dati!A1</f>
        <v>Costanti varie</v>
      </c>
      <c r="B1" s="187"/>
      <c r="C1" s="187"/>
    </row>
    <row r="2" spans="1:5" x14ac:dyDescent="0.25">
      <c r="A2" s="187"/>
      <c r="B2" s="187"/>
      <c r="C2" s="187"/>
    </row>
    <row r="4" spans="1:5" x14ac:dyDescent="0.25">
      <c r="B4" s="89" t="s">
        <v>1</v>
      </c>
      <c r="C4" s="89" t="s">
        <v>2</v>
      </c>
    </row>
    <row r="5" spans="1:5" x14ac:dyDescent="0.25">
      <c r="A5" s="89" t="str">
        <f>[1]Dati!A5</f>
        <v>d</v>
      </c>
      <c r="B5" s="90">
        <v>7.6</v>
      </c>
      <c r="C5" s="89">
        <f>[1]Dati!C5</f>
        <v>1.0000000000000001E-5</v>
      </c>
    </row>
    <row r="6" spans="1:5" x14ac:dyDescent="0.25">
      <c r="A6" s="89" t="str">
        <f>[1]Dati!A6</f>
        <v>g</v>
      </c>
      <c r="B6" s="89">
        <f>[1]Dati!B6</f>
        <v>9.8059999999999992</v>
      </c>
      <c r="C6" s="89">
        <f>[1]Dati!C6</f>
        <v>0</v>
      </c>
    </row>
    <row r="7" spans="1:5" x14ac:dyDescent="0.25">
      <c r="A7" s="89" t="str">
        <f>[1]Dati!A7</f>
        <v>pressione</v>
      </c>
      <c r="B7" s="89">
        <f>[1]Dati!B7</f>
        <v>101325</v>
      </c>
      <c r="C7" s="89">
        <f>[1]Dati!C7</f>
        <v>0</v>
      </c>
    </row>
    <row r="8" spans="1:5" x14ac:dyDescent="0.25">
      <c r="A8" s="89" t="str">
        <f>[1]Dati!A8</f>
        <v>densità aria</v>
      </c>
      <c r="B8" s="89">
        <v>0</v>
      </c>
      <c r="C8" s="89">
        <f>[1]Dati!C8</f>
        <v>0</v>
      </c>
    </row>
    <row r="9" spans="1:5" x14ac:dyDescent="0.25">
      <c r="A9" s="89" t="str">
        <f>[1]Dati!A9</f>
        <v>densità olio</v>
      </c>
      <c r="B9" s="89">
        <v>858.7</v>
      </c>
      <c r="C9" s="89">
        <f>[1]Dati!C9</f>
        <v>0</v>
      </c>
    </row>
    <row r="10" spans="1:5" x14ac:dyDescent="0.25">
      <c r="A10" s="89" t="str">
        <f>[1]Dati!A10</f>
        <v>cst corr vis</v>
      </c>
      <c r="B10" s="89">
        <f>[1]Dati!B10</f>
        <v>8.2000000000000007E-3</v>
      </c>
      <c r="C10" s="89">
        <f>[1]Dati!C10</f>
        <v>0</v>
      </c>
    </row>
    <row r="11" spans="1:5" x14ac:dyDescent="0.25">
      <c r="A11" s="89" t="str">
        <f>[1]Dati!A11</f>
        <v>e</v>
      </c>
      <c r="B11" s="89">
        <f>[1]Dati!B11</f>
        <v>1.6021766200000001E-19</v>
      </c>
      <c r="C11" s="89">
        <f>[1]Dati!C11</f>
        <v>0</v>
      </c>
    </row>
    <row r="12" spans="1:5" x14ac:dyDescent="0.25">
      <c r="A12" s="89" t="str">
        <f>[1]Dati!A12</f>
        <v>deltax</v>
      </c>
      <c r="B12" s="89">
        <f>[1]Dati!B12</f>
        <v>5.0000000000000001E-4</v>
      </c>
      <c r="C12" s="89">
        <f>[1]Dati!C12</f>
        <v>0</v>
      </c>
    </row>
    <row r="13" spans="1:5" x14ac:dyDescent="0.25">
      <c r="A13" s="89" t="s">
        <v>30</v>
      </c>
      <c r="B13" s="89">
        <f>Dati!B13</f>
        <v>0.25</v>
      </c>
    </row>
    <row r="14" spans="1:5" x14ac:dyDescent="0.25">
      <c r="A14" s="187" t="s">
        <v>17</v>
      </c>
      <c r="B14" s="187"/>
      <c r="C14" s="187"/>
      <c r="D14" s="92"/>
    </row>
    <row r="15" spans="1:5" x14ac:dyDescent="0.25">
      <c r="A15" s="187"/>
      <c r="B15" s="187"/>
      <c r="C15" s="187"/>
      <c r="D15" s="92"/>
    </row>
    <row r="16" spans="1:5" x14ac:dyDescent="0.25">
      <c r="A16" s="89" t="s">
        <v>18</v>
      </c>
      <c r="B16" s="89">
        <v>399</v>
      </c>
      <c r="C16" s="89">
        <f>B16/100</f>
        <v>3.99</v>
      </c>
      <c r="D16" s="89" t="s">
        <v>19</v>
      </c>
      <c r="E16" s="89">
        <f>(1.8+(B18-15)*0.004765)*0.00001</f>
        <v>1.8262075000000001E-5</v>
      </c>
    </row>
    <row r="17" spans="1:10" x14ac:dyDescent="0.25">
      <c r="A17" s="89" t="s">
        <v>20</v>
      </c>
      <c r="E17" s="91"/>
    </row>
    <row r="18" spans="1:10" x14ac:dyDescent="0.25">
      <c r="A18" s="89" t="s">
        <v>21</v>
      </c>
      <c r="B18" s="89">
        <v>20.5</v>
      </c>
      <c r="C18" s="89">
        <v>0.5</v>
      </c>
      <c r="D18" s="89" t="s">
        <v>22</v>
      </c>
      <c r="E18" s="90">
        <f>B16/B5</f>
        <v>52.5</v>
      </c>
      <c r="F18" s="89">
        <f>SQRT((C16/B5)^2+(B16*C5/B5^2)^2)</f>
        <v>0.52500000454466755</v>
      </c>
      <c r="G18" s="90"/>
    </row>
    <row r="21" spans="1:10" x14ac:dyDescent="0.25">
      <c r="B21" s="89" t="s">
        <v>23</v>
      </c>
      <c r="C21" s="89" t="s">
        <v>27</v>
      </c>
      <c r="D21" s="89" t="s">
        <v>24</v>
      </c>
      <c r="E21" s="89" t="s">
        <v>29</v>
      </c>
      <c r="F21" s="89" t="s">
        <v>25</v>
      </c>
      <c r="G21" s="89" t="s">
        <v>26</v>
      </c>
      <c r="H21" s="89" t="s">
        <v>28</v>
      </c>
      <c r="I21" s="89" t="s">
        <v>31</v>
      </c>
      <c r="J21" s="89" t="s">
        <v>32</v>
      </c>
    </row>
    <row r="22" spans="1:10" x14ac:dyDescent="0.25">
      <c r="A22" s="89">
        <v>1</v>
      </c>
      <c r="B22" s="95">
        <v>7.45</v>
      </c>
      <c r="C22" s="89">
        <f>B22</f>
        <v>7.45</v>
      </c>
      <c r="D22" s="90">
        <f>B12/B22</f>
        <v>6.7114093959731537E-5</v>
      </c>
      <c r="E22" s="90">
        <f>SQRT(2)*D22*$B$13/C22</f>
        <v>3.1850222115514953E-6</v>
      </c>
      <c r="F22" s="5">
        <f>(($B$10/(2*$B$7))^2+9*$E$16*D22/(2*$B$6*($B$9-$B$8)))^(1/2)-$B$10/(2*$B$7)</f>
        <v>7.6986935588668726E-7</v>
      </c>
      <c r="G22" s="89">
        <f>(($B$10/(2*$B$7))^2+9*$E$16*D22/(2*$B$6*($B$9-$B$8)))^(-1/2)*(9*$E$16)/(4*$B$6*$B$9)</f>
        <v>6.0219292723882557E-3</v>
      </c>
      <c r="H22" s="89">
        <f>(($B$10/(2*$B$7))^2+9*$E$16*D22/(2*$B$6*($B$9-$B$8)))^(-1/2)*((9*D22)/(4*$B$6*$B$9))*0.00000004765</f>
        <v>1.0545378321922474E-9</v>
      </c>
      <c r="I22" s="89">
        <f>SQRT(G22^2*E22^2+H22^2*$C$18^2+$F$28^2)</f>
        <v>2.4529657187159681E-8</v>
      </c>
      <c r="J22" s="90">
        <f>I22/F22</f>
        <v>3.1862103614850285E-2</v>
      </c>
    </row>
    <row r="23" spans="1:10" x14ac:dyDescent="0.25">
      <c r="A23" s="89">
        <v>2</v>
      </c>
      <c r="B23" s="95">
        <v>15.5</v>
      </c>
      <c r="C23" s="89">
        <f>B23-B22</f>
        <v>8.0500000000000007</v>
      </c>
      <c r="D23" s="90">
        <f>$B$12/(B23-B22)</f>
        <v>6.2111801242236027E-5</v>
      </c>
      <c r="E23" s="90">
        <f t="shared" ref="E23:E25" si="0">SQRT(2)*D23*$B$13/C23</f>
        <v>2.727930177024604E-6</v>
      </c>
      <c r="F23" s="5">
        <f>(($B$10/(2*$B$7))^2+9*E16*D23/(2*$B$6*($B$9-$B$8)))^(1/2)-$B$10/(2*$B$7)</f>
        <v>7.391641614088526E-7</v>
      </c>
      <c r="G23" s="89">
        <f t="shared" ref="G23:G27" si="1">(($B$10/(2*$B$7))^2+9*$E$16*D23/(2*$B$6*($B$9-$B$8)))^(-1/2)*(9*$E$16)/(4*$B$6*$B$9)</f>
        <v>6.2590994430353564E-3</v>
      </c>
      <c r="H23" s="89">
        <f t="shared" ref="H23:H27" si="2">(($B$10/(2*$B$7))^2+9*$E$16*D23/(2*$B$6*($B$9-$B$8)))^(-1/2)*((9*D23)/(4*$B$6*$B$9))*0.00000004765</f>
        <v>1.0143755168972466E-9</v>
      </c>
      <c r="I23" s="89">
        <f t="shared" ref="I23:I27" si="3">SQRT(G23^2*E23^2+H23^2*$C$18^2+$F$28^2)</f>
        <v>2.2920436288739142E-8</v>
      </c>
      <c r="J23" s="90">
        <f t="shared" ref="J23:J27" si="4">I23/F23</f>
        <v>3.1008587111491733E-2</v>
      </c>
    </row>
    <row r="24" spans="1:10" x14ac:dyDescent="0.25">
      <c r="A24" s="89">
        <v>3</v>
      </c>
      <c r="B24" s="95">
        <v>23.41</v>
      </c>
      <c r="C24" s="89">
        <f t="shared" ref="C24:C26" si="5">B24-B23</f>
        <v>7.91</v>
      </c>
      <c r="D24" s="90">
        <f>$B$12/(B24-B23)</f>
        <v>6.321112515802781E-5</v>
      </c>
      <c r="E24" s="90">
        <f t="shared" si="0"/>
        <v>2.8253486248845159E-6</v>
      </c>
      <c r="F24" s="5">
        <f>(($B$10/(2*$B$7))^2+9*E16*D24/(2*$B$6*($B$9-$B$8)))^(1/2)-$B$10/(2*$B$7)</f>
        <v>7.4601484027587871E-7</v>
      </c>
      <c r="G24" s="89">
        <f t="shared" si="1"/>
        <v>6.2045791100668697E-3</v>
      </c>
      <c r="H24" s="89">
        <f t="shared" si="2"/>
        <v>1.0233368897712706E-9</v>
      </c>
      <c r="I24" s="89">
        <f t="shared" si="3"/>
        <v>2.3262000599805901E-8</v>
      </c>
      <c r="J24" s="90">
        <f t="shared" si="4"/>
        <v>3.1181686132682747E-2</v>
      </c>
    </row>
    <row r="25" spans="1:10" x14ac:dyDescent="0.25">
      <c r="A25" s="89">
        <v>4</v>
      </c>
      <c r="B25" s="95">
        <v>31.37</v>
      </c>
      <c r="C25" s="89">
        <f t="shared" si="5"/>
        <v>7.9600000000000009</v>
      </c>
      <c r="D25" s="90">
        <f>$B$12/(B25-B24)</f>
        <v>6.2814070351758787E-5</v>
      </c>
      <c r="E25" s="90">
        <f t="shared" si="0"/>
        <v>2.7899657725915516E-6</v>
      </c>
      <c r="F25" s="5">
        <f>(($B$10/(2*$B$7))^2+9*E16*D25/(2*$B$6*($B$9-$B$8)))^(1/2)-$B$10/(2*$B$7)</f>
        <v>7.4354741177367724E-7</v>
      </c>
      <c r="G25" s="89">
        <f t="shared" si="1"/>
        <v>6.2241060684282363E-3</v>
      </c>
      <c r="H25" s="89">
        <f t="shared" si="2"/>
        <v>1.0201092946597913E-9</v>
      </c>
      <c r="I25" s="89">
        <f t="shared" si="3"/>
        <v>2.3137834057937754E-8</v>
      </c>
      <c r="J25" s="90">
        <f t="shared" si="4"/>
        <v>3.1118169052252048E-2</v>
      </c>
    </row>
    <row r="26" spans="1:10" x14ac:dyDescent="0.25">
      <c r="A26" s="89">
        <v>5</v>
      </c>
      <c r="B26" s="95">
        <v>39.65</v>
      </c>
      <c r="C26" s="89">
        <f t="shared" si="5"/>
        <v>8.2799999999999976</v>
      </c>
      <c r="D26" s="90">
        <f>$B$12/(B26-B25)</f>
        <v>6.038647342995171E-5</v>
      </c>
      <c r="E26" s="90">
        <f>SQRT(2)*D26*$B$13/C26</f>
        <v>2.5784833849190911E-6</v>
      </c>
      <c r="F26" s="5">
        <f>(($B$10/(2*$B$7))^2+9*E16*D26/(2*$B$6*($B$9-$B$8)))^(1/2)-$B$10/(2*$B$7)</f>
        <v>7.2828931777101055E-7</v>
      </c>
      <c r="G26" s="89">
        <f t="shared" si="1"/>
        <v>6.3476411626169861E-3</v>
      </c>
      <c r="H26" s="89">
        <f t="shared" si="2"/>
        <v>1.0001492606453652E-9</v>
      </c>
      <c r="I26" s="89">
        <f t="shared" si="3"/>
        <v>2.2398496860910711E-8</v>
      </c>
      <c r="J26" s="90">
        <f t="shared" si="4"/>
        <v>3.0754943556584292E-2</v>
      </c>
    </row>
    <row r="27" spans="1:10" x14ac:dyDescent="0.25">
      <c r="A27" s="7" t="s">
        <v>34</v>
      </c>
      <c r="B27" s="7"/>
      <c r="C27" s="7">
        <f>AVERAGE(C22:C26)</f>
        <v>7.93</v>
      </c>
      <c r="D27" s="7">
        <f>AVERAGE(D22:D26)</f>
        <v>6.3127512828341174E-5</v>
      </c>
      <c r="E27" s="8">
        <f>SQRT(2)*D27*$B$13/C27</f>
        <v>2.814495107210644E-6</v>
      </c>
      <c r="F27" s="9">
        <f>AVERAGE(F22:F26)</f>
        <v>7.4537701742322123E-7</v>
      </c>
      <c r="G27" s="7">
        <f t="shared" si="1"/>
        <v>6.2086758460908557E-3</v>
      </c>
      <c r="H27" s="7">
        <f t="shared" si="2"/>
        <v>1.0226580651635154E-9</v>
      </c>
      <c r="I27" s="7">
        <f t="shared" si="3"/>
        <v>2.3219963082619078E-8</v>
      </c>
      <c r="J27" s="8">
        <f t="shared" si="4"/>
        <v>3.1151970801153509E-2</v>
      </c>
    </row>
    <row r="28" spans="1:10" x14ac:dyDescent="0.25">
      <c r="A28" s="89" t="s">
        <v>35</v>
      </c>
      <c r="C28" s="6">
        <f>_xlfn.STDEV.S(C22:C26)</f>
        <v>0.30356218473321012</v>
      </c>
      <c r="D28" s="90">
        <f>_xlfn.STDEV.S(D22:D26)</f>
        <v>2.4770462921911101E-6</v>
      </c>
      <c r="E28" s="8">
        <f>SQRT(2)*D28*$B$13/C28</f>
        <v>2.8849710514184936E-6</v>
      </c>
      <c r="F28" s="90">
        <f>_xlfn.STDEV.S(F22:F26)</f>
        <v>1.5282489796271991E-8</v>
      </c>
    </row>
    <row r="30" spans="1:10" x14ac:dyDescent="0.25">
      <c r="A30" s="89" t="s">
        <v>31</v>
      </c>
      <c r="C30" s="89">
        <f t="array" ref="C30:G31">TRANSPOSE(A32:B36)</f>
        <v>2.4529657187159681E-8</v>
      </c>
      <c r="D30" s="89">
        <v>2.2920436288739142E-8</v>
      </c>
      <c r="E30" s="89">
        <v>2.3262000599805901E-8</v>
      </c>
      <c r="F30" s="89">
        <v>2.3137834057937754E-8</v>
      </c>
      <c r="G30" s="89">
        <v>2.2398496860910711E-8</v>
      </c>
    </row>
    <row r="31" spans="1:10" x14ac:dyDescent="0.25">
      <c r="B31" s="89" t="s">
        <v>25</v>
      </c>
      <c r="C31" s="89">
        <v>7.6986935588668726E-7</v>
      </c>
      <c r="D31" s="89">
        <v>7.391641614088526E-7</v>
      </c>
      <c r="E31" s="89">
        <v>7.4601484027587871E-7</v>
      </c>
      <c r="F31" s="89">
        <v>7.4354741177367724E-7</v>
      </c>
      <c r="G31" s="89">
        <v>7.2828931777101055E-7</v>
      </c>
    </row>
    <row r="32" spans="1:10" x14ac:dyDescent="0.25">
      <c r="A32" s="89">
        <f>I22</f>
        <v>2.4529657187159681E-8</v>
      </c>
      <c r="B32" s="5">
        <f>F22</f>
        <v>7.6986935588668726E-7</v>
      </c>
      <c r="C32" s="89">
        <f t="shared" ref="C32:G36" si="6">(C$31-$B32)/SQRT(C$30^2+$A32^2)</f>
        <v>0</v>
      </c>
      <c r="D32" s="89">
        <f t="shared" si="6"/>
        <v>-0.91461889253565931</v>
      </c>
      <c r="E32" s="89">
        <f t="shared" si="6"/>
        <v>-0.70563608684187962</v>
      </c>
      <c r="F32" s="89">
        <f t="shared" si="6"/>
        <v>-0.78059472742328218</v>
      </c>
      <c r="G32" s="89">
        <f t="shared" si="6"/>
        <v>-1.2517541335388978</v>
      </c>
    </row>
    <row r="33" spans="1:12" x14ac:dyDescent="0.25">
      <c r="A33" s="89">
        <f>I23</f>
        <v>2.2920436288739142E-8</v>
      </c>
      <c r="B33" s="5">
        <f>F23</f>
        <v>7.391641614088526E-7</v>
      </c>
      <c r="C33" s="89">
        <f t="shared" si="6"/>
        <v>0.91461889253565931</v>
      </c>
      <c r="D33" s="89">
        <f t="shared" si="6"/>
        <v>0</v>
      </c>
      <c r="E33" s="89">
        <f t="shared" si="6"/>
        <v>0.20977797298604356</v>
      </c>
      <c r="F33" s="89">
        <f t="shared" si="6"/>
        <v>0.13458566758408735</v>
      </c>
      <c r="G33" s="89">
        <f t="shared" si="6"/>
        <v>-0.33933569085843679</v>
      </c>
    </row>
    <row r="34" spans="1:12" x14ac:dyDescent="0.25">
      <c r="A34" s="89">
        <f>I24</f>
        <v>2.3262000599805901E-8</v>
      </c>
      <c r="B34" s="5">
        <f>F24</f>
        <v>7.4601484027587871E-7</v>
      </c>
      <c r="C34" s="89">
        <f t="shared" si="6"/>
        <v>0.70563608684187962</v>
      </c>
      <c r="D34" s="89">
        <f t="shared" si="6"/>
        <v>-0.20977797298604356</v>
      </c>
      <c r="E34" s="89">
        <f t="shared" si="6"/>
        <v>0</v>
      </c>
      <c r="F34" s="89">
        <f t="shared" si="6"/>
        <v>-7.5204111904263057E-2</v>
      </c>
      <c r="G34" s="89">
        <f t="shared" si="6"/>
        <v>-0.54890319443915947</v>
      </c>
    </row>
    <row r="35" spans="1:12" x14ac:dyDescent="0.25">
      <c r="A35" s="89">
        <f>I25</f>
        <v>2.3137834057937754E-8</v>
      </c>
      <c r="B35" s="5">
        <f>F25</f>
        <v>7.4354741177367724E-7</v>
      </c>
      <c r="C35" s="89">
        <f t="shared" si="6"/>
        <v>0.78059472742328218</v>
      </c>
      <c r="D35" s="89">
        <f t="shared" si="6"/>
        <v>-0.13458566758408735</v>
      </c>
      <c r="E35" s="89">
        <f t="shared" si="6"/>
        <v>7.5204111904263057E-2</v>
      </c>
      <c r="F35" s="89">
        <f t="shared" si="6"/>
        <v>0</v>
      </c>
      <c r="G35" s="89">
        <f t="shared" si="6"/>
        <v>-0.4738054085464789</v>
      </c>
    </row>
    <row r="36" spans="1:12" x14ac:dyDescent="0.25">
      <c r="A36" s="89">
        <f>I26</f>
        <v>2.2398496860910711E-8</v>
      </c>
      <c r="B36" s="5">
        <f>F26</f>
        <v>7.2828931777101055E-7</v>
      </c>
      <c r="C36" s="89">
        <f t="shared" si="6"/>
        <v>1.2517541335388978</v>
      </c>
      <c r="D36" s="89">
        <f t="shared" si="6"/>
        <v>0.33933569085843679</v>
      </c>
      <c r="E36" s="89">
        <f t="shared" si="6"/>
        <v>0.54890319443915947</v>
      </c>
      <c r="F36" s="89">
        <f t="shared" si="6"/>
        <v>0.4738054085464789</v>
      </c>
      <c r="G36" s="89">
        <f t="shared" si="6"/>
        <v>0</v>
      </c>
    </row>
    <row r="39" spans="1:12" x14ac:dyDescent="0.25">
      <c r="A39" s="89" t="s">
        <v>7</v>
      </c>
    </row>
    <row r="40" spans="1:12" x14ac:dyDescent="0.25">
      <c r="B40" s="89" t="s">
        <v>36</v>
      </c>
      <c r="C40" s="89" t="s">
        <v>27</v>
      </c>
      <c r="D40" s="89" t="s">
        <v>24</v>
      </c>
      <c r="E40" s="89" t="s">
        <v>29</v>
      </c>
      <c r="F40" s="89" t="s">
        <v>37</v>
      </c>
      <c r="G40" s="89" t="s">
        <v>39</v>
      </c>
      <c r="H40" s="89" t="s">
        <v>40</v>
      </c>
      <c r="I40" s="89" t="s">
        <v>41</v>
      </c>
      <c r="J40" s="89" t="s">
        <v>42</v>
      </c>
      <c r="K40" s="89" t="s">
        <v>2</v>
      </c>
      <c r="L40" s="89" t="s">
        <v>43</v>
      </c>
    </row>
    <row r="41" spans="1:12" x14ac:dyDescent="0.25">
      <c r="A41" s="94">
        <v>1</v>
      </c>
      <c r="B41" s="96">
        <v>41.48</v>
      </c>
      <c r="C41" s="89">
        <f>B41-B26</f>
        <v>1.8299999999999983</v>
      </c>
      <c r="D41" s="90">
        <f>$B$12/C41</f>
        <v>2.7322404371584727E-4</v>
      </c>
      <c r="E41" s="90">
        <f>SQRT(2)*D41*$B$13/C41</f>
        <v>5.2786495654285653E-5</v>
      </c>
      <c r="F41" s="90">
        <f>(4*PI()/3)*$F$27^3*($B$9-$B$8)*($B$6/$E$18)*(1+ABS(D41)/$D$27)</f>
        <v>1.4824000266899479E-15</v>
      </c>
      <c r="G41" s="90">
        <f>F41*3/$F$27</f>
        <v>5.9663767142215843E-9</v>
      </c>
      <c r="H41" s="90">
        <f>F41/$E$18</f>
        <v>2.8236190984570436E-17</v>
      </c>
      <c r="I41" s="89">
        <f>(4*PI()/3)*$F$27^3*($B$9-$B$8)*($B$6/$E$18)*(1/$D$27)</f>
        <v>4.4072934935123351E-12</v>
      </c>
      <c r="J41" s="90">
        <f>(4*PI()/3)*$F$27^3*($B$9-$B$8)*($B$6/$E$18)*(ABS(D41)/$D$27^2)</f>
        <v>1.9075336508416436E-11</v>
      </c>
      <c r="K41" s="89">
        <f>SQRT(G41^2*$I$27^2+H41^2*$F$18^2+I41^2*E41^2+J41^2*$E$28^2)</f>
        <v>2.7670432271125498E-16</v>
      </c>
      <c r="L41" s="93">
        <f>K41/F41</f>
        <v>0.18665968546230283</v>
      </c>
    </row>
    <row r="42" spans="1:12" x14ac:dyDescent="0.25">
      <c r="A42" s="94">
        <v>2</v>
      </c>
      <c r="B42" s="96">
        <v>42.96</v>
      </c>
      <c r="C42" s="89">
        <f>B42-B41</f>
        <v>1.480000000000004</v>
      </c>
      <c r="D42" s="90">
        <f t="shared" ref="D42:D45" si="7">$B$12/C42</f>
        <v>3.3783783783783694E-4</v>
      </c>
      <c r="E42" s="90">
        <f t="shared" ref="E42:E44" si="8">SQRT(2)*D42*$B$13/C42</f>
        <v>8.0705211512342926E-5</v>
      </c>
      <c r="F42" s="90">
        <f t="shared" ref="F42:F45" si="9">(4*PI()/3)*$F$27^3*($B$9-$B$8)*($B$6/$E$18)*(1+ABS(D42)/$D$27)</f>
        <v>1.7671719811149386E-15</v>
      </c>
      <c r="G42" s="90">
        <f t="shared" ref="G42:G45" si="10">F42*3/$F$27</f>
        <v>7.1125293903912287E-9</v>
      </c>
      <c r="H42" s="90">
        <f t="shared" ref="H42:H45" si="11">F42/$E$18</f>
        <v>3.3660418687903593E-17</v>
      </c>
      <c r="I42" s="89">
        <f t="shared" ref="I42:I45" si="12">(4*PI()/3)*$F$27^3*($B$9-$B$8)*($B$6/$E$18)*(1/$D$27)</f>
        <v>4.4072934935123351E-12</v>
      </c>
      <c r="J42" s="90">
        <f t="shared" ref="J42:J45" si="13">(4*PI()/3)*$F$27^3*($B$9-$B$8)*($B$6/$E$18)*(ABS(D42)/$D$27^2)</f>
        <v>2.3586395817839158E-11</v>
      </c>
      <c r="K42" s="89">
        <f t="shared" ref="K42:K45" si="14">SQRT(G42^2*$I$27^2+H42^2*$F$18^2+I42^2*E42^2+J42^2*$E$28^2)</f>
        <v>3.9841491296495058E-16</v>
      </c>
      <c r="L42" s="93">
        <f t="shared" ref="L42:L45" si="15">K42/F42</f>
        <v>0.22545338949612809</v>
      </c>
    </row>
    <row r="43" spans="1:12" x14ac:dyDescent="0.25">
      <c r="A43" s="94">
        <v>3</v>
      </c>
      <c r="B43" s="96">
        <v>44.81</v>
      </c>
      <c r="C43" s="89">
        <f>B43-B42</f>
        <v>1.8500000000000014</v>
      </c>
      <c r="D43" s="90">
        <f t="shared" si="7"/>
        <v>2.7027027027027006E-4</v>
      </c>
      <c r="E43" s="90">
        <f t="shared" si="8"/>
        <v>5.1651335367899667E-5</v>
      </c>
      <c r="F43" s="90">
        <f t="shared" si="9"/>
        <v>1.4693818802019459E-15</v>
      </c>
      <c r="G43" s="90">
        <f t="shared" si="10"/>
        <v>5.913981163310963E-9</v>
      </c>
      <c r="H43" s="90">
        <f t="shared" si="11"/>
        <v>2.7988226289560874E-17</v>
      </c>
      <c r="I43" s="89">
        <f t="shared" si="12"/>
        <v>4.4072934935123351E-12</v>
      </c>
      <c r="J43" s="90">
        <f t="shared" si="13"/>
        <v>1.8869116654271361E-11</v>
      </c>
      <c r="K43" s="89">
        <f t="shared" si="14"/>
        <v>2.7176806008249782E-16</v>
      </c>
      <c r="L43" s="93">
        <f t="shared" si="15"/>
        <v>0.18495400259403438</v>
      </c>
    </row>
    <row r="44" spans="1:12" x14ac:dyDescent="0.25">
      <c r="A44" s="94">
        <v>4</v>
      </c>
      <c r="B44" s="96">
        <v>46.68</v>
      </c>
      <c r="C44" s="89">
        <f>B44-B43</f>
        <v>1.8699999999999974</v>
      </c>
      <c r="D44" s="90">
        <f t="shared" si="7"/>
        <v>2.6737967914438541E-4</v>
      </c>
      <c r="E44" s="90">
        <f t="shared" si="8"/>
        <v>5.0552402212427399E-5</v>
      </c>
      <c r="F44" s="90">
        <f t="shared" si="9"/>
        <v>1.4566421967404298E-15</v>
      </c>
      <c r="G44" s="90">
        <f t="shared" si="10"/>
        <v>5.8627063728476458E-9</v>
      </c>
      <c r="H44" s="90">
        <f t="shared" si="11"/>
        <v>2.7745565652198665E-17</v>
      </c>
      <c r="I44" s="89">
        <f t="shared" si="12"/>
        <v>4.4072934935123351E-12</v>
      </c>
      <c r="J44" s="90">
        <f t="shared" si="13"/>
        <v>1.8667307920001123E-11</v>
      </c>
      <c r="K44" s="89">
        <f t="shared" si="14"/>
        <v>2.669904368180007E-16</v>
      </c>
      <c r="L44" s="93">
        <f t="shared" si="15"/>
        <v>0.18329170843426951</v>
      </c>
    </row>
    <row r="45" spans="1:12" x14ac:dyDescent="0.25">
      <c r="A45" s="94">
        <v>5</v>
      </c>
      <c r="B45" s="96">
        <v>48.63</v>
      </c>
      <c r="C45" s="89">
        <f>B45-B44</f>
        <v>1.9500000000000028</v>
      </c>
      <c r="D45" s="90">
        <f t="shared" si="7"/>
        <v>2.5641025641025603E-4</v>
      </c>
      <c r="E45" s="90">
        <f>SQRT(2)*D45*$B$13/C45</f>
        <v>4.6489597711146977E-5</v>
      </c>
      <c r="F45" s="90">
        <f t="shared" si="9"/>
        <v>1.4082967312967154E-15</v>
      </c>
      <c r="G45" s="90">
        <f t="shared" si="10"/>
        <v>5.6681251167303905E-9</v>
      </c>
      <c r="H45" s="90">
        <f t="shared" si="11"/>
        <v>2.682469964374696E-17</v>
      </c>
      <c r="I45" s="89">
        <f t="shared" si="12"/>
        <v>4.4072934935123351E-12</v>
      </c>
      <c r="J45" s="90">
        <f t="shared" si="13"/>
        <v>1.7901469646359996E-11</v>
      </c>
      <c r="K45" s="89">
        <f t="shared" si="14"/>
        <v>2.4933707773746119E-16</v>
      </c>
      <c r="L45" s="93">
        <f t="shared" si="15"/>
        <v>0.17704868029330684</v>
      </c>
    </row>
    <row r="46" spans="1:12" x14ac:dyDescent="0.25">
      <c r="L46" s="93"/>
    </row>
    <row r="47" spans="1:12" x14ac:dyDescent="0.25">
      <c r="L47" s="93"/>
    </row>
    <row r="49" spans="1:12" x14ac:dyDescent="0.25">
      <c r="A49" s="89" t="s">
        <v>7</v>
      </c>
    </row>
    <row r="50" spans="1:12" x14ac:dyDescent="0.25">
      <c r="B50" s="89" t="s">
        <v>23</v>
      </c>
      <c r="C50" s="89" t="s">
        <v>27</v>
      </c>
      <c r="D50" s="89" t="s">
        <v>24</v>
      </c>
      <c r="E50" s="89" t="s">
        <v>29</v>
      </c>
      <c r="F50" s="89" t="s">
        <v>37</v>
      </c>
      <c r="G50" s="89" t="s">
        <v>39</v>
      </c>
      <c r="H50" s="89" t="s">
        <v>40</v>
      </c>
      <c r="I50" s="89" t="s">
        <v>41</v>
      </c>
      <c r="J50" s="89" t="s">
        <v>42</v>
      </c>
      <c r="K50" s="89" t="s">
        <v>2</v>
      </c>
      <c r="L50" s="89" t="s">
        <v>43</v>
      </c>
    </row>
    <row r="51" spans="1:12" x14ac:dyDescent="0.25">
      <c r="A51" s="94">
        <v>6</v>
      </c>
      <c r="B51" s="97">
        <v>49.91</v>
      </c>
      <c r="C51" s="89">
        <f>B51-B45</f>
        <v>1.279999999999994</v>
      </c>
      <c r="D51" s="90">
        <f>$B$12/C51</f>
        <v>3.9062500000000181E-4</v>
      </c>
      <c r="E51" s="90">
        <f>SQRT(2)*D51*$B$13/C51</f>
        <v>1.0789593218788973E-4</v>
      </c>
      <c r="F51" s="90">
        <f>-(4*PI()/3)*$F$27^3*($B$9-$B$8)*($B$6/$E$18)*(1-ABS(D51)/$D$27)</f>
        <v>1.4433775443532992E-15</v>
      </c>
      <c r="G51" s="90">
        <f>F51*3/$F$27</f>
        <v>5.8093186828180268E-9</v>
      </c>
      <c r="H51" s="90">
        <f>F51/$E$18</f>
        <v>2.7492905606729508E-17</v>
      </c>
      <c r="I51" s="89">
        <f>-(4*PI()/3)*$F$27^3*($B$9-$B$8)*($B$6/$E$18)*(-1/$D$27)</f>
        <v>4.4072934935123351E-12</v>
      </c>
      <c r="J51" s="90">
        <f>-(4*PI()/3)*$F$27^3*($B$9-$B$8)*($B$6/$E$18)*(-ABS(D51)/$D$27^2)</f>
        <v>2.7271770164376728E-11</v>
      </c>
      <c r="K51" s="89">
        <f>SQRT(G51^2*$I$27^2+H51^2*$F$18^2+I51^2*E51^2+J51^2*$E$28^2)</f>
        <v>5.0072184665156476E-16</v>
      </c>
      <c r="L51" s="93">
        <f>K51/F51</f>
        <v>0.34690982176524826</v>
      </c>
    </row>
    <row r="52" spans="1:12" x14ac:dyDescent="0.25">
      <c r="A52" s="94">
        <v>7</v>
      </c>
      <c r="B52" s="97">
        <v>50.91</v>
      </c>
      <c r="C52" s="89">
        <f>B52-B51</f>
        <v>1</v>
      </c>
      <c r="D52" s="90">
        <f t="shared" ref="D52:D55" si="16">$B$12/C52</f>
        <v>5.0000000000000001E-4</v>
      </c>
      <c r="E52" s="90">
        <f t="shared" ref="E52:E54" si="17">SQRT(2)*D52*$B$13/C52</f>
        <v>1.7677669529663691E-4</v>
      </c>
      <c r="F52" s="90">
        <f t="shared" ref="F52:F55" si="18">-(4*PI()/3)*$F$27^3*($B$9-$B$8)*($B$6/$E$18)*(1-ABS(D52)/$D$27)</f>
        <v>1.925425270206203E-15</v>
      </c>
      <c r="G52" s="90">
        <f t="shared" ref="G52:G55" si="19">F52*3/$F$27</f>
        <v>7.7494686254041949E-9</v>
      </c>
      <c r="H52" s="90">
        <f t="shared" ref="H52:H55" si="20">F52/$E$18</f>
        <v>3.6674767051546724E-17</v>
      </c>
      <c r="I52" s="89">
        <f t="shared" ref="I52:I55" si="21">-(4*PI()/3)*$F$27^3*($B$9-$B$8)*($B$6/$E$18)*(-1/$D$27)</f>
        <v>4.4072934935123351E-12</v>
      </c>
      <c r="J52" s="90">
        <f t="shared" ref="J52:J55" si="22">-(4*PI()/3)*$F$27^3*($B$9-$B$8)*($B$6/$E$18)*(-ABS(D52)/$D$27^2)</f>
        <v>3.4907865810402049E-11</v>
      </c>
      <c r="K52" s="89">
        <f t="shared" ref="K52:K55" si="23">SQRT(G52^2*$I$27^2+H52^2*$F$18^2+I52^2*E52^2+J52^2*$E$28^2)</f>
        <v>8.0616344233938165E-16</v>
      </c>
      <c r="L52" s="93">
        <f t="shared" ref="L52:L55" si="24">K52/F52</f>
        <v>0.41869370617175172</v>
      </c>
    </row>
    <row r="53" spans="1:12" x14ac:dyDescent="0.25">
      <c r="A53" s="94">
        <v>8</v>
      </c>
      <c r="B53" s="97">
        <v>51.89</v>
      </c>
      <c r="C53" s="89">
        <f>B53-B52</f>
        <v>0.98000000000000398</v>
      </c>
      <c r="D53" s="90">
        <f t="shared" si="16"/>
        <v>5.1020408163265105E-4</v>
      </c>
      <c r="E53" s="90">
        <f t="shared" si="17"/>
        <v>1.8406569689362293E-4</v>
      </c>
      <c r="F53" s="90">
        <f t="shared" si="18"/>
        <v>1.9703976527930546E-15</v>
      </c>
      <c r="G53" s="90">
        <f t="shared" si="19"/>
        <v>7.9304738678611805E-9</v>
      </c>
      <c r="H53" s="90">
        <f t="shared" si="20"/>
        <v>3.7531383862724846E-17</v>
      </c>
      <c r="I53" s="89">
        <f t="shared" si="21"/>
        <v>4.4072934935123351E-12</v>
      </c>
      <c r="J53" s="90">
        <f t="shared" si="22"/>
        <v>3.5620271235103991E-11</v>
      </c>
      <c r="K53" s="89">
        <f t="shared" si="23"/>
        <v>8.38423934500591E-16</v>
      </c>
      <c r="L53" s="93">
        <f t="shared" si="24"/>
        <v>0.4255100148501082</v>
      </c>
    </row>
    <row r="54" spans="1:12" x14ac:dyDescent="0.25">
      <c r="A54" s="94">
        <v>9</v>
      </c>
      <c r="B54" s="97">
        <v>53.52</v>
      </c>
      <c r="C54" s="89">
        <f>B54-B53</f>
        <v>1.6300000000000026</v>
      </c>
      <c r="D54" s="90">
        <f t="shared" si="16"/>
        <v>3.0674846625766824E-4</v>
      </c>
      <c r="E54" s="90">
        <f t="shared" si="17"/>
        <v>6.653494497219931E-5</v>
      </c>
      <c r="F54" s="90">
        <f t="shared" si="18"/>
        <v>1.0737090429323447E-15</v>
      </c>
      <c r="G54" s="90">
        <f t="shared" si="19"/>
        <v>4.3214736348224359E-9</v>
      </c>
      <c r="H54" s="90">
        <f t="shared" si="20"/>
        <v>2.0451600817758948E-17</v>
      </c>
      <c r="I54" s="89">
        <f t="shared" si="21"/>
        <v>4.4072934935123351E-12</v>
      </c>
      <c r="J54" s="90">
        <f t="shared" si="22"/>
        <v>2.1415868595338645E-11</v>
      </c>
      <c r="K54" s="89">
        <f t="shared" si="23"/>
        <v>3.1621307170104873E-16</v>
      </c>
      <c r="L54" s="93">
        <f t="shared" si="24"/>
        <v>0.29450536323831034</v>
      </c>
    </row>
    <row r="55" spans="1:12" x14ac:dyDescent="0.25">
      <c r="A55" s="94">
        <v>10</v>
      </c>
      <c r="B55" s="97">
        <v>54.73</v>
      </c>
      <c r="C55" s="89">
        <f>B55-B54</f>
        <v>1.2099999999999937</v>
      </c>
      <c r="D55" s="90">
        <f t="shared" si="16"/>
        <v>4.1322314049586993E-4</v>
      </c>
      <c r="E55" s="90">
        <f>SQRT(2)*D55*$B$13/C55</f>
        <v>1.2074086148257546E-4</v>
      </c>
      <c r="F55" s="90">
        <f t="shared" si="18"/>
        <v>1.5429741819262164E-15</v>
      </c>
      <c r="G55" s="90">
        <f t="shared" si="19"/>
        <v>6.210176108972207E-9</v>
      </c>
      <c r="H55" s="90">
        <f t="shared" si="20"/>
        <v>2.938998441764222E-17</v>
      </c>
      <c r="I55" s="89">
        <f t="shared" si="21"/>
        <v>4.4072934935123351E-12</v>
      </c>
      <c r="J55" s="90">
        <f t="shared" si="22"/>
        <v>2.8849475876365483E-11</v>
      </c>
      <c r="K55" s="89">
        <f t="shared" si="23"/>
        <v>5.5779240791157634E-16</v>
      </c>
      <c r="L55" s="93">
        <f t="shared" si="24"/>
        <v>0.3615046929788806</v>
      </c>
    </row>
    <row r="56" spans="1:12" x14ac:dyDescent="0.25">
      <c r="L56" s="93"/>
    </row>
    <row r="57" spans="1:12" x14ac:dyDescent="0.25">
      <c r="L57" s="93"/>
    </row>
    <row r="59" spans="1:12" x14ac:dyDescent="0.25">
      <c r="B59" s="89" t="s">
        <v>38</v>
      </c>
    </row>
    <row r="60" spans="1:12" x14ac:dyDescent="0.25">
      <c r="A60" s="90"/>
      <c r="B60" s="89" t="s">
        <v>44</v>
      </c>
      <c r="C60" s="89" t="s">
        <v>45</v>
      </c>
    </row>
    <row r="61" spans="1:12" x14ac:dyDescent="0.25">
      <c r="A61" s="89">
        <v>1</v>
      </c>
      <c r="B61" s="90">
        <f>F41</f>
        <v>1.4824000266899479E-15</v>
      </c>
      <c r="C61" s="89">
        <f>K41</f>
        <v>2.7670432271125498E-16</v>
      </c>
    </row>
    <row r="62" spans="1:12" x14ac:dyDescent="0.25">
      <c r="A62" s="89">
        <v>2</v>
      </c>
      <c r="B62" s="90">
        <f t="shared" ref="B62:B65" si="25">F42</f>
        <v>1.7671719811149386E-15</v>
      </c>
      <c r="C62" s="89">
        <f t="shared" ref="C62:C65" si="26">K42</f>
        <v>3.9841491296495058E-16</v>
      </c>
    </row>
    <row r="63" spans="1:12" x14ac:dyDescent="0.25">
      <c r="A63" s="89">
        <v>3</v>
      </c>
      <c r="B63" s="90">
        <f t="shared" si="25"/>
        <v>1.4693818802019459E-15</v>
      </c>
      <c r="C63" s="89">
        <f t="shared" si="26"/>
        <v>2.7176806008249782E-16</v>
      </c>
    </row>
    <row r="64" spans="1:12" x14ac:dyDescent="0.25">
      <c r="A64" s="89">
        <v>4</v>
      </c>
      <c r="B64" s="90">
        <f t="shared" si="25"/>
        <v>1.4566421967404298E-15</v>
      </c>
      <c r="C64" s="89">
        <f t="shared" si="26"/>
        <v>2.669904368180007E-16</v>
      </c>
    </row>
    <row r="65" spans="1:3" x14ac:dyDescent="0.25">
      <c r="A65" s="89">
        <v>5</v>
      </c>
      <c r="B65" s="90">
        <f t="shared" si="25"/>
        <v>1.4082967312967154E-15</v>
      </c>
      <c r="C65" s="89">
        <f t="shared" si="26"/>
        <v>2.4933707773746119E-16</v>
      </c>
    </row>
    <row r="66" spans="1:3" x14ac:dyDescent="0.25">
      <c r="A66" s="89">
        <v>6</v>
      </c>
      <c r="B66" s="90">
        <f>F51</f>
        <v>1.4433775443532992E-15</v>
      </c>
      <c r="C66" s="89">
        <f>K51</f>
        <v>5.0072184665156476E-16</v>
      </c>
    </row>
    <row r="67" spans="1:3" x14ac:dyDescent="0.25">
      <c r="A67" s="89">
        <v>7</v>
      </c>
      <c r="B67" s="90">
        <f t="shared" ref="B67:B70" si="27">F52</f>
        <v>1.925425270206203E-15</v>
      </c>
      <c r="C67" s="89">
        <f t="shared" ref="C67:C70" si="28">K52</f>
        <v>8.0616344233938165E-16</v>
      </c>
    </row>
    <row r="68" spans="1:3" x14ac:dyDescent="0.25">
      <c r="A68" s="89">
        <v>8</v>
      </c>
      <c r="B68" s="90">
        <f t="shared" si="27"/>
        <v>1.9703976527930546E-15</v>
      </c>
      <c r="C68" s="89">
        <f t="shared" si="28"/>
        <v>8.38423934500591E-16</v>
      </c>
    </row>
    <row r="69" spans="1:3" x14ac:dyDescent="0.25">
      <c r="A69" s="89">
        <v>9</v>
      </c>
      <c r="B69" s="90">
        <f t="shared" si="27"/>
        <v>1.0737090429323447E-15</v>
      </c>
      <c r="C69" s="89">
        <f t="shared" si="28"/>
        <v>3.1621307170104873E-16</v>
      </c>
    </row>
    <row r="70" spans="1:3" x14ac:dyDescent="0.25">
      <c r="A70" s="89">
        <v>10</v>
      </c>
      <c r="B70" s="90">
        <f t="shared" si="27"/>
        <v>1.5429741819262164E-15</v>
      </c>
      <c r="C70" s="89">
        <f t="shared" si="28"/>
        <v>5.5779240791157634E-16</v>
      </c>
    </row>
  </sheetData>
  <mergeCells count="2">
    <mergeCell ref="A1:C2"/>
    <mergeCell ref="A14:C15"/>
  </mergeCells>
  <conditionalFormatting sqref="C32:G36">
    <cfRule type="cellIs" dxfId="35" priority="5" operator="notBetween">
      <formula>-1.96</formula>
      <formula>1.96</formula>
    </cfRule>
  </conditionalFormatting>
  <conditionalFormatting sqref="L41:L47">
    <cfRule type="cellIs" priority="4" operator="greaterThan">
      <formula>0.04</formula>
    </cfRule>
  </conditionalFormatting>
  <conditionalFormatting sqref="L51:L57">
    <cfRule type="cellIs" priority="2" operator="greaterThan">
      <formula>0.04</formula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3" operator="greaterThan" id="{886AE515-2C61-4A80-BAE3-3BE16C04F2FD}">
            <xm:f>Dati!$B$14</xm:f>
            <x14:dxf>
              <fill>
                <patternFill>
                  <bgColor theme="5"/>
                </patternFill>
              </fill>
            </x14:dxf>
          </x14:cfRule>
          <xm:sqref>L41:L47</xm:sqref>
        </x14:conditionalFormatting>
        <x14:conditionalFormatting xmlns:xm="http://schemas.microsoft.com/office/excel/2006/main">
          <x14:cfRule type="cellIs" priority="1" operator="greaterThan" id="{6DFA6F6B-816C-46AA-85A9-5474267BFC7B}">
            <xm:f>Dati!$B$14</xm:f>
            <x14:dxf>
              <fill>
                <patternFill>
                  <bgColor theme="5"/>
                </patternFill>
              </fill>
            </x14:dxf>
          </x14:cfRule>
          <xm:sqref>L51:L57</xm:sqref>
        </x14:conditionalFormatting>
      </x14:conditionalFormatting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topLeftCell="A7" workbookViewId="0">
      <selection activeCell="A24" sqref="A24"/>
    </sheetView>
  </sheetViews>
  <sheetFormatPr defaultRowHeight="15" x14ac:dyDescent="0.25"/>
  <cols>
    <col min="1" max="1" width="13.140625" style="97" customWidth="1"/>
    <col min="2" max="2" width="9.140625" style="97"/>
    <col min="3" max="5" width="12" style="97" customWidth="1"/>
    <col min="6" max="7" width="12.140625" style="97" customWidth="1"/>
    <col min="8" max="9" width="12" style="97" customWidth="1"/>
    <col min="10" max="10" width="9.140625" style="97"/>
    <col min="11" max="11" width="12" style="97" customWidth="1"/>
    <col min="12" max="16384" width="9.140625" style="97"/>
  </cols>
  <sheetData>
    <row r="1" spans="1:5" x14ac:dyDescent="0.25">
      <c r="A1" s="187" t="str">
        <f>[1]Dati!A1</f>
        <v>Costanti varie</v>
      </c>
      <c r="B1" s="187"/>
      <c r="C1" s="187"/>
    </row>
    <row r="2" spans="1:5" x14ac:dyDescent="0.25">
      <c r="A2" s="187"/>
      <c r="B2" s="187"/>
      <c r="C2" s="187"/>
    </row>
    <row r="4" spans="1:5" x14ac:dyDescent="0.25">
      <c r="B4" s="97" t="s">
        <v>1</v>
      </c>
      <c r="C4" s="97" t="s">
        <v>2</v>
      </c>
    </row>
    <row r="5" spans="1:5" x14ac:dyDescent="0.25">
      <c r="A5" s="97" t="str">
        <f>[1]Dati!A5</f>
        <v>d</v>
      </c>
      <c r="B5" s="98">
        <v>7.6</v>
      </c>
      <c r="C5" s="97">
        <f>[1]Dati!C5</f>
        <v>1.0000000000000001E-5</v>
      </c>
    </row>
    <row r="6" spans="1:5" x14ac:dyDescent="0.25">
      <c r="A6" s="97" t="str">
        <f>[1]Dati!A6</f>
        <v>g</v>
      </c>
      <c r="B6" s="97">
        <f>[1]Dati!B6</f>
        <v>9.8059999999999992</v>
      </c>
      <c r="C6" s="97">
        <f>[1]Dati!C6</f>
        <v>0</v>
      </c>
    </row>
    <row r="7" spans="1:5" x14ac:dyDescent="0.25">
      <c r="A7" s="97" t="str">
        <f>[1]Dati!A7</f>
        <v>pressione</v>
      </c>
      <c r="B7" s="97">
        <f>[1]Dati!B7</f>
        <v>101325</v>
      </c>
      <c r="C7" s="97">
        <f>[1]Dati!C7</f>
        <v>0</v>
      </c>
    </row>
    <row r="8" spans="1:5" x14ac:dyDescent="0.25">
      <c r="A8" s="97" t="str">
        <f>[1]Dati!A8</f>
        <v>densità aria</v>
      </c>
      <c r="B8" s="97">
        <v>0</v>
      </c>
      <c r="C8" s="97">
        <f>[1]Dati!C8</f>
        <v>0</v>
      </c>
    </row>
    <row r="9" spans="1:5" x14ac:dyDescent="0.25">
      <c r="A9" s="97" t="str">
        <f>[1]Dati!A9</f>
        <v>densità olio</v>
      </c>
      <c r="B9" s="97">
        <v>858.7</v>
      </c>
      <c r="C9" s="97">
        <f>[1]Dati!C9</f>
        <v>0</v>
      </c>
    </row>
    <row r="10" spans="1:5" x14ac:dyDescent="0.25">
      <c r="A10" s="97" t="str">
        <f>[1]Dati!A10</f>
        <v>cst corr vis</v>
      </c>
      <c r="B10" s="97">
        <f>[1]Dati!B10</f>
        <v>8.2000000000000007E-3</v>
      </c>
      <c r="C10" s="97">
        <f>[1]Dati!C10</f>
        <v>0</v>
      </c>
    </row>
    <row r="11" spans="1:5" x14ac:dyDescent="0.25">
      <c r="A11" s="97" t="str">
        <f>[1]Dati!A11</f>
        <v>e</v>
      </c>
      <c r="B11" s="97">
        <f>[1]Dati!B11</f>
        <v>1.6021766200000001E-19</v>
      </c>
      <c r="C11" s="97">
        <f>[1]Dati!C11</f>
        <v>0</v>
      </c>
    </row>
    <row r="12" spans="1:5" x14ac:dyDescent="0.25">
      <c r="A12" s="97" t="str">
        <f>[1]Dati!A12</f>
        <v>deltax</v>
      </c>
      <c r="B12" s="97">
        <f>[1]Dati!B12</f>
        <v>5.0000000000000001E-4</v>
      </c>
      <c r="C12" s="97">
        <f>[1]Dati!C12</f>
        <v>0</v>
      </c>
    </row>
    <row r="13" spans="1:5" x14ac:dyDescent="0.25">
      <c r="A13" s="97" t="s">
        <v>30</v>
      </c>
      <c r="B13" s="97">
        <f>Dati!B13</f>
        <v>0.25</v>
      </c>
    </row>
    <row r="14" spans="1:5" x14ac:dyDescent="0.25">
      <c r="A14" s="187" t="s">
        <v>17</v>
      </c>
      <c r="B14" s="187"/>
      <c r="C14" s="187"/>
      <c r="D14" s="100"/>
    </row>
    <row r="15" spans="1:5" x14ac:dyDescent="0.25">
      <c r="A15" s="187"/>
      <c r="B15" s="187"/>
      <c r="C15" s="187"/>
      <c r="D15" s="100"/>
    </row>
    <row r="16" spans="1:5" x14ac:dyDescent="0.25">
      <c r="A16" s="97" t="s">
        <v>18</v>
      </c>
      <c r="B16" s="97">
        <v>399</v>
      </c>
      <c r="C16" s="97">
        <f>B16/100</f>
        <v>3.99</v>
      </c>
      <c r="D16" s="97" t="s">
        <v>19</v>
      </c>
      <c r="E16" s="97">
        <f>(1.8+(B18-15)*0.004765)*0.00001</f>
        <v>1.8262075000000001E-5</v>
      </c>
    </row>
    <row r="17" spans="1:10" x14ac:dyDescent="0.25">
      <c r="A17" s="97" t="s">
        <v>20</v>
      </c>
      <c r="E17" s="99"/>
    </row>
    <row r="18" spans="1:10" x14ac:dyDescent="0.25">
      <c r="A18" s="97" t="s">
        <v>21</v>
      </c>
      <c r="B18" s="97">
        <v>20.5</v>
      </c>
      <c r="C18" s="97">
        <v>0.5</v>
      </c>
      <c r="D18" s="97" t="s">
        <v>22</v>
      </c>
      <c r="E18" s="98">
        <f>B16/B5</f>
        <v>52.5</v>
      </c>
      <c r="F18" s="97">
        <f>SQRT((C16/B5)^2+(B16*C5/B5^2)^2)</f>
        <v>0.52500000454466755</v>
      </c>
      <c r="G18" s="98"/>
    </row>
    <row r="21" spans="1:10" x14ac:dyDescent="0.25">
      <c r="B21" s="97" t="s">
        <v>23</v>
      </c>
      <c r="C21" s="97" t="s">
        <v>27</v>
      </c>
      <c r="D21" s="97" t="s">
        <v>24</v>
      </c>
      <c r="E21" s="97" t="s">
        <v>29</v>
      </c>
      <c r="F21" s="97" t="s">
        <v>25</v>
      </c>
      <c r="G21" s="97" t="s">
        <v>26</v>
      </c>
      <c r="H21" s="97" t="s">
        <v>28</v>
      </c>
      <c r="I21" s="97" t="s">
        <v>31</v>
      </c>
      <c r="J21" s="97" t="s">
        <v>32</v>
      </c>
    </row>
    <row r="22" spans="1:10" x14ac:dyDescent="0.25">
      <c r="A22" s="97">
        <v>1</v>
      </c>
      <c r="B22" s="103">
        <v>10.039999999999999</v>
      </c>
      <c r="C22" s="97">
        <f>B22</f>
        <v>10.039999999999999</v>
      </c>
      <c r="D22" s="98">
        <f>B12/B22</f>
        <v>4.9800796812749013E-5</v>
      </c>
      <c r="E22" s="98">
        <f>SQRT(2)*D22*$B$13/C22</f>
        <v>1.7537092198599719E-6</v>
      </c>
      <c r="F22" s="5">
        <f>(($B$10/(2*$B$7))^2+9*$E$16*D22/(2*$B$6*($B$9-$B$8)))^(1/2)-$B$10/(2*$B$7)</f>
        <v>6.5786996305403242E-7</v>
      </c>
      <c r="G22" s="97">
        <f>(($B$10/(2*$B$7))^2+9*$E$16*D22/(2*$B$6*($B$9-$B$8)))^(-1/2)*(9*$E$16)/(4*$B$6*$B$9)</f>
        <v>6.9877315946878273E-3</v>
      </c>
      <c r="H22" s="97">
        <f>(($B$10/(2*$B$7))^2+9*$E$16*D22/(2*$B$6*($B$9-$B$8)))^(-1/2)*((9*D22)/(4*$B$6*$B$9))*0.00000004765</f>
        <v>9.079988310928756E-10</v>
      </c>
      <c r="I22" s="97">
        <f>SQRT(G22^2*E22^2+H22^2*$C$18^2+$F$28^2)</f>
        <v>1.6692914664066308E-8</v>
      </c>
      <c r="J22" s="98">
        <f>I22/F22</f>
        <v>2.5374185783726501E-2</v>
      </c>
    </row>
    <row r="23" spans="1:10" x14ac:dyDescent="0.25">
      <c r="A23" s="97">
        <v>2</v>
      </c>
      <c r="B23" s="103">
        <v>19.440000000000001</v>
      </c>
      <c r="C23" s="97">
        <f>B23-B22</f>
        <v>9.4000000000000021</v>
      </c>
      <c r="D23" s="98">
        <f>$B$12/(B23-B22)</f>
        <v>5.3191489361702114E-5</v>
      </c>
      <c r="E23" s="98">
        <f t="shared" ref="E23:E25" si="0">SQRT(2)*D23*$B$13/C23</f>
        <v>2.0006416398442372E-6</v>
      </c>
      <c r="F23" s="5">
        <f>(($B$10/(2*$B$7))^2+9*E16*D23/(2*$B$6*($B$9-$B$8)))^(1/2)-$B$10/(2*$B$7)</f>
        <v>6.8117436193505565E-7</v>
      </c>
      <c r="G23" s="97">
        <f t="shared" ref="G23:G27" si="1">(($B$10/(2*$B$7))^2+9*$E$16*D23/(2*$B$6*($B$9-$B$8)))^(-1/2)*(9*$E$16)/(4*$B$6*$B$9)</f>
        <v>6.7620715883649676E-3</v>
      </c>
      <c r="H23" s="97">
        <f t="shared" ref="H23:H27" si="2">(($B$10/(2*$B$7))^2+9*$E$16*D23/(2*$B$6*($B$9-$B$8)))^(-1/2)*((9*D23)/(4*$B$6*$B$9))*0.00000004765</f>
        <v>9.3850090963012385E-10</v>
      </c>
      <c r="I23" s="97">
        <f t="shared" ref="I23:I27" si="3">SQRT(G23^2*E23^2+H23^2*$C$18^2+$F$28^2)</f>
        <v>1.7649809553306973E-8</v>
      </c>
      <c r="J23" s="98">
        <f t="shared" ref="J23:J27" si="4">I23/F23</f>
        <v>2.5910854165397575E-2</v>
      </c>
    </row>
    <row r="24" spans="1:10" x14ac:dyDescent="0.25">
      <c r="A24" s="97">
        <v>3</v>
      </c>
      <c r="B24" s="103">
        <v>29.41</v>
      </c>
      <c r="C24" s="97">
        <f t="shared" ref="C24:C26" si="5">B24-B23</f>
        <v>9.9699999999999989</v>
      </c>
      <c r="D24" s="98">
        <f>$B$12/(B24-B23)</f>
        <v>5.0150451354062191E-5</v>
      </c>
      <c r="E24" s="98">
        <f t="shared" si="0"/>
        <v>1.7784214760292605E-6</v>
      </c>
      <c r="F24" s="5">
        <f>(($B$10/(2*$B$7))^2+9*E16*D24/(2*$B$6*($B$9-$B$8)))^(1/2)-$B$10/(2*$B$7)</f>
        <v>6.6030899580072425E-7</v>
      </c>
      <c r="G24" s="97">
        <f t="shared" si="1"/>
        <v>6.9634108662364382E-3</v>
      </c>
      <c r="H24" s="97">
        <f t="shared" si="2"/>
        <v>9.1119147907337533E-10</v>
      </c>
      <c r="I24" s="97">
        <f t="shared" si="3"/>
        <v>1.6788203999466187E-8</v>
      </c>
      <c r="J24" s="98">
        <f t="shared" si="4"/>
        <v>2.5424769473431082E-2</v>
      </c>
    </row>
    <row r="25" spans="1:10" x14ac:dyDescent="0.25">
      <c r="A25" s="97">
        <v>4</v>
      </c>
      <c r="B25" s="103">
        <v>39.590000000000003</v>
      </c>
      <c r="C25" s="97">
        <f t="shared" si="5"/>
        <v>10.180000000000003</v>
      </c>
      <c r="D25" s="98">
        <f>$B$12/(B25-B24)</f>
        <v>4.9115913555992126E-5</v>
      </c>
      <c r="E25" s="98">
        <f t="shared" si="0"/>
        <v>1.7058052819063996E-6</v>
      </c>
      <c r="F25" s="5">
        <f>(($B$10/(2*$B$7))^2+9*E16*D25/(2*$B$6*($B$9-$B$8)))^(1/2)-$B$10/(2*$B$7)</f>
        <v>6.5306767051193769E-7</v>
      </c>
      <c r="G25" s="97">
        <f t="shared" si="1"/>
        <v>7.0361174720999196E-3</v>
      </c>
      <c r="H25" s="97">
        <f t="shared" si="2"/>
        <v>9.0171250163407106E-10</v>
      </c>
      <c r="I25" s="97">
        <f t="shared" si="3"/>
        <v>1.6508571865776107E-8</v>
      </c>
      <c r="J25" s="98">
        <f t="shared" si="4"/>
        <v>2.5278501158746827E-2</v>
      </c>
    </row>
    <row r="26" spans="1:10" x14ac:dyDescent="0.25">
      <c r="A26" s="97">
        <v>5</v>
      </c>
      <c r="B26" s="103">
        <v>49.26</v>
      </c>
      <c r="C26" s="97">
        <f t="shared" si="5"/>
        <v>9.6699999999999946</v>
      </c>
      <c r="D26" s="98">
        <f>$B$12/(B26-B25)</f>
        <v>5.1706308169596723E-5</v>
      </c>
      <c r="E26" s="98">
        <f>SQRT(2)*D26*$B$13/C26</f>
        <v>1.8904798933217812E-6</v>
      </c>
      <c r="F26" s="5">
        <f>(($B$10/(2*$B$7))^2+9*E16*D26/(2*$B$6*($B$9-$B$8)))^(1/2)-$B$10/(2*$B$7)</f>
        <v>6.7106058802130933E-7</v>
      </c>
      <c r="G26" s="97">
        <f t="shared" si="1"/>
        <v>6.8581892467341182E-3</v>
      </c>
      <c r="H26" s="97">
        <f t="shared" si="2"/>
        <v>9.2526424101102257E-10</v>
      </c>
      <c r="I26" s="97">
        <f t="shared" si="3"/>
        <v>1.7221729930065847E-8</v>
      </c>
      <c r="J26" s="98">
        <f t="shared" si="4"/>
        <v>2.5663450122806162E-2</v>
      </c>
    </row>
    <row r="27" spans="1:10" x14ac:dyDescent="0.25">
      <c r="A27" s="7" t="s">
        <v>34</v>
      </c>
      <c r="B27" s="7"/>
      <c r="C27" s="7">
        <f>AVERAGE(C22:C26)</f>
        <v>9.8520000000000003</v>
      </c>
      <c r="D27" s="7">
        <f>AVERAGE(D22:D26)</f>
        <v>5.0792991850820433E-5</v>
      </c>
      <c r="E27" s="8">
        <f>SQRT(2)*D27*$B$13/C27</f>
        <v>1.8227806016274957E-6</v>
      </c>
      <c r="F27" s="9">
        <f>AVERAGE(F22:F26)</f>
        <v>6.6469631586461189E-7</v>
      </c>
      <c r="G27" s="7">
        <f t="shared" si="1"/>
        <v>6.9193724065356194E-3</v>
      </c>
      <c r="H27" s="7">
        <f t="shared" si="2"/>
        <v>9.170294498950188E-10</v>
      </c>
      <c r="I27" s="7">
        <f t="shared" si="3"/>
        <v>1.6957626389011344E-8</v>
      </c>
      <c r="J27" s="8">
        <f t="shared" si="4"/>
        <v>2.5511840496593552E-2</v>
      </c>
    </row>
    <row r="28" spans="1:10" x14ac:dyDescent="0.25">
      <c r="A28" s="97" t="s">
        <v>35</v>
      </c>
      <c r="C28" s="6">
        <f>_xlfn.STDEV.S(C22:C26)</f>
        <v>0.31395859599635173</v>
      </c>
      <c r="D28" s="98">
        <f>_xlfn.STDEV.S(D22:D26)</f>
        <v>1.6429271056852151E-6</v>
      </c>
      <c r="E28" s="8">
        <f>SQRT(2)*D28*$B$13/C28</f>
        <v>1.8501243670976011E-6</v>
      </c>
      <c r="F28" s="98">
        <f>_xlfn.STDEV.S(F22:F26)</f>
        <v>1.1325888763800724E-8</v>
      </c>
    </row>
    <row r="30" spans="1:10" x14ac:dyDescent="0.25">
      <c r="A30" s="97" t="s">
        <v>31</v>
      </c>
      <c r="C30" s="97">
        <f t="array" ref="C30:G31">TRANSPOSE(A32:B36)</f>
        <v>1.6692914664066308E-8</v>
      </c>
      <c r="D30" s="97">
        <v>1.7649809553306973E-8</v>
      </c>
      <c r="E30" s="97">
        <v>1.6788203999466187E-8</v>
      </c>
      <c r="F30" s="97">
        <v>1.6508571865776107E-8</v>
      </c>
      <c r="G30" s="97">
        <v>1.7221729930065847E-8</v>
      </c>
    </row>
    <row r="31" spans="1:10" x14ac:dyDescent="0.25">
      <c r="B31" s="97" t="s">
        <v>25</v>
      </c>
      <c r="C31" s="97">
        <v>6.5786996305403242E-7</v>
      </c>
      <c r="D31" s="97">
        <v>6.8117436193505565E-7</v>
      </c>
      <c r="E31" s="97">
        <v>6.6030899580072425E-7</v>
      </c>
      <c r="F31" s="97">
        <v>6.5306767051193769E-7</v>
      </c>
      <c r="G31" s="97">
        <v>6.7106058802130933E-7</v>
      </c>
    </row>
    <row r="32" spans="1:10" x14ac:dyDescent="0.25">
      <c r="A32" s="97">
        <f>I22</f>
        <v>1.6692914664066308E-8</v>
      </c>
      <c r="B32" s="5">
        <f>F22</f>
        <v>6.5786996305403242E-7</v>
      </c>
      <c r="C32" s="97">
        <f t="shared" ref="C32:G36" si="6">(C$31-$B32)/SQRT(C$30^2+$A32^2)</f>
        <v>0</v>
      </c>
      <c r="D32" s="97">
        <f t="shared" si="6"/>
        <v>0.95928939465012952</v>
      </c>
      <c r="E32" s="97">
        <f t="shared" si="6"/>
        <v>0.10302222140054949</v>
      </c>
      <c r="F32" s="97">
        <f t="shared" si="6"/>
        <v>-0.20454995465625778</v>
      </c>
      <c r="G32" s="97">
        <f t="shared" si="6"/>
        <v>0.54997166182696888</v>
      </c>
    </row>
    <row r="33" spans="1:12" x14ac:dyDescent="0.25">
      <c r="A33" s="97">
        <f>I23</f>
        <v>1.7649809553306973E-8</v>
      </c>
      <c r="B33" s="5">
        <f>F23</f>
        <v>6.8117436193505565E-7</v>
      </c>
      <c r="C33" s="97">
        <f t="shared" si="6"/>
        <v>-0.95928939465012952</v>
      </c>
      <c r="D33" s="97">
        <f t="shared" si="6"/>
        <v>0</v>
      </c>
      <c r="E33" s="97">
        <f t="shared" si="6"/>
        <v>-0.85657823272095857</v>
      </c>
      <c r="F33" s="97">
        <f t="shared" si="6"/>
        <v>-1.1630146532017414</v>
      </c>
      <c r="G33" s="97">
        <f t="shared" si="6"/>
        <v>-0.41013269994185991</v>
      </c>
    </row>
    <row r="34" spans="1:12" x14ac:dyDescent="0.25">
      <c r="A34" s="97">
        <f>I24</f>
        <v>1.6788203999466187E-8</v>
      </c>
      <c r="B34" s="5">
        <f>F24</f>
        <v>6.6030899580072425E-7</v>
      </c>
      <c r="C34" s="97">
        <f t="shared" si="6"/>
        <v>-0.10302222140054949</v>
      </c>
      <c r="D34" s="97">
        <f t="shared" si="6"/>
        <v>0.85657823272095857</v>
      </c>
      <c r="E34" s="97">
        <f t="shared" si="6"/>
        <v>0</v>
      </c>
      <c r="F34" s="97">
        <f t="shared" si="6"/>
        <v>-0.30754987677450096</v>
      </c>
      <c r="G34" s="97">
        <f t="shared" si="6"/>
        <v>0.44704033845845592</v>
      </c>
    </row>
    <row r="35" spans="1:12" x14ac:dyDescent="0.25">
      <c r="A35" s="97">
        <f>I25</f>
        <v>1.6508571865776107E-8</v>
      </c>
      <c r="B35" s="5">
        <f>F25</f>
        <v>6.5306767051193769E-7</v>
      </c>
      <c r="C35" s="97">
        <f t="shared" si="6"/>
        <v>0.20454995465625778</v>
      </c>
      <c r="D35" s="97">
        <f t="shared" si="6"/>
        <v>1.1630146532017414</v>
      </c>
      <c r="E35" s="97">
        <f t="shared" si="6"/>
        <v>0.30754987677450096</v>
      </c>
      <c r="F35" s="97">
        <f t="shared" si="6"/>
        <v>0</v>
      </c>
      <c r="G35" s="97">
        <f t="shared" si="6"/>
        <v>0.75422219986844075</v>
      </c>
    </row>
    <row r="36" spans="1:12" x14ac:dyDescent="0.25">
      <c r="A36" s="97">
        <f>I26</f>
        <v>1.7221729930065847E-8</v>
      </c>
      <c r="B36" s="5">
        <f>F26</f>
        <v>6.7106058802130933E-7</v>
      </c>
      <c r="C36" s="97">
        <f t="shared" si="6"/>
        <v>-0.54997166182696888</v>
      </c>
      <c r="D36" s="97">
        <f t="shared" si="6"/>
        <v>0.41013269994185991</v>
      </c>
      <c r="E36" s="97">
        <f t="shared" si="6"/>
        <v>-0.44704033845845592</v>
      </c>
      <c r="F36" s="97">
        <f t="shared" si="6"/>
        <v>-0.75422219986844075</v>
      </c>
      <c r="G36" s="97">
        <f t="shared" si="6"/>
        <v>0</v>
      </c>
    </row>
    <row r="39" spans="1:12" x14ac:dyDescent="0.25">
      <c r="A39" s="97" t="s">
        <v>7</v>
      </c>
    </row>
    <row r="40" spans="1:12" x14ac:dyDescent="0.25">
      <c r="B40" s="97" t="s">
        <v>36</v>
      </c>
      <c r="C40" s="97" t="s">
        <v>27</v>
      </c>
      <c r="D40" s="97" t="s">
        <v>24</v>
      </c>
      <c r="E40" s="97" t="s">
        <v>29</v>
      </c>
      <c r="F40" s="97" t="s">
        <v>37</v>
      </c>
      <c r="G40" s="97" t="s">
        <v>39</v>
      </c>
      <c r="H40" s="97" t="s">
        <v>40</v>
      </c>
      <c r="I40" s="97" t="s">
        <v>41</v>
      </c>
      <c r="J40" s="97" t="s">
        <v>42</v>
      </c>
      <c r="K40" s="97" t="s">
        <v>2</v>
      </c>
      <c r="L40" s="97" t="s">
        <v>43</v>
      </c>
    </row>
    <row r="41" spans="1:12" x14ac:dyDescent="0.25">
      <c r="A41" s="102">
        <v>1</v>
      </c>
      <c r="B41" s="104">
        <v>55.33</v>
      </c>
      <c r="C41" s="97">
        <f>B41-B26</f>
        <v>6.07</v>
      </c>
      <c r="D41" s="98">
        <f>$B$12/C41</f>
        <v>8.2372322899505762E-5</v>
      </c>
      <c r="E41" s="98">
        <f>SQRT(2)*D41*$B$13/C41</f>
        <v>4.797860634623431E-6</v>
      </c>
      <c r="F41" s="98">
        <f>(4*PI()/3)*$F$27^3*($B$9-$B$8)*($B$6/$E$18)*(1+ABS(D41)/$D$27)</f>
        <v>5.1727298530251887E-16</v>
      </c>
      <c r="G41" s="98">
        <f>F41*3/$F$27</f>
        <v>2.3346284895366229E-9</v>
      </c>
      <c r="H41" s="98">
        <f>F41/$E$18</f>
        <v>9.8528187676670255E-18</v>
      </c>
      <c r="I41" s="97">
        <f>(4*PI()/3)*$F$27^3*($B$9-$B$8)*($B$6/$E$18)*(1/$D$27)</f>
        <v>3.8844423284874323E-12</v>
      </c>
      <c r="J41" s="98">
        <f>(4*PI()/3)*$F$27^3*($B$9-$B$8)*($B$6/$E$18)*(ABS(D41)/$D$27^2)</f>
        <v>6.2995016853197326E-12</v>
      </c>
      <c r="K41" s="97">
        <f>SQRT(G41^2*$I$27^2+H41^2*$F$18^2+I41^2*E41^2+J41^2*$E$28^2)</f>
        <v>4.5577188343564502E-17</v>
      </c>
      <c r="L41" s="101">
        <f>K41/F41</f>
        <v>8.8110513478505764E-2</v>
      </c>
    </row>
    <row r="42" spans="1:12" x14ac:dyDescent="0.25">
      <c r="A42" s="102">
        <v>2</v>
      </c>
      <c r="B42" s="104">
        <v>61.29</v>
      </c>
      <c r="C42" s="97">
        <f>B42-B41</f>
        <v>5.9600000000000009</v>
      </c>
      <c r="D42" s="98">
        <f t="shared" ref="D42:D45" si="7">$B$12/C42</f>
        <v>8.3892617449664425E-5</v>
      </c>
      <c r="E42" s="98">
        <f t="shared" ref="E42:E44" si="8">SQRT(2)*D42*$B$13/C42</f>
        <v>4.9765972055492109E-6</v>
      </c>
      <c r="F42" s="98">
        <f t="shared" ref="F42:F45" si="9">(4*PI()/3)*$F$27^3*($B$9-$B$8)*($B$6/$E$18)*(1+ABS(D42)/$D$27)</f>
        <v>5.2317848180492394E-16</v>
      </c>
      <c r="G42" s="98">
        <f t="shared" ref="G42:G45" si="10">F42*3/$F$27</f>
        <v>2.3612819989428997E-9</v>
      </c>
      <c r="H42" s="98">
        <f t="shared" ref="H42:H45" si="11">F42/$E$18</f>
        <v>9.9653044153318847E-18</v>
      </c>
      <c r="I42" s="97">
        <f t="shared" ref="I42:I45" si="12">(4*PI()/3)*$F$27^3*($B$9-$B$8)*($B$6/$E$18)*(1/$D$27)</f>
        <v>3.8844423284874323E-12</v>
      </c>
      <c r="J42" s="98">
        <f t="shared" ref="J42:J45" si="13">(4*PI()/3)*$F$27^3*($B$9-$B$8)*($B$6/$E$18)*(ABS(D42)/$D$27^2)</f>
        <v>6.415767656021942E-12</v>
      </c>
      <c r="K42" s="97">
        <f t="shared" ref="K42:K45" si="14">SQRT(G42^2*$I$27^2+H42^2*$F$18^2+I42^2*E42^2+J42^2*$E$28^2)</f>
        <v>4.6317467964773414E-17</v>
      </c>
      <c r="L42" s="101">
        <f t="shared" ref="L42:L45" si="15">K42/F42</f>
        <v>8.8530911678519064E-2</v>
      </c>
    </row>
    <row r="43" spans="1:12" x14ac:dyDescent="0.25">
      <c r="A43" s="102">
        <v>3</v>
      </c>
      <c r="B43" s="104">
        <v>68.239999999999995</v>
      </c>
      <c r="C43" s="97">
        <f>B43-B42</f>
        <v>6.9499999999999957</v>
      </c>
      <c r="D43" s="98">
        <f t="shared" si="7"/>
        <v>7.1942446043165507E-5</v>
      </c>
      <c r="E43" s="98">
        <f t="shared" si="8"/>
        <v>3.6597835577172426E-6</v>
      </c>
      <c r="F43" s="98">
        <f t="shared" si="9"/>
        <v>4.7675873016083938E-16</v>
      </c>
      <c r="G43" s="98">
        <f t="shared" si="10"/>
        <v>2.1517739098975882E-9</v>
      </c>
      <c r="H43" s="98">
        <f t="shared" si="11"/>
        <v>9.0811186697302735E-18</v>
      </c>
      <c r="I43" s="97">
        <f t="shared" si="12"/>
        <v>3.8844423284874323E-12</v>
      </c>
      <c r="J43" s="98">
        <f t="shared" si="13"/>
        <v>5.5018669395526326E-12</v>
      </c>
      <c r="K43" s="97">
        <f t="shared" si="14"/>
        <v>4.0741761356800822E-17</v>
      </c>
      <c r="L43" s="101">
        <f t="shared" si="15"/>
        <v>8.5455721687689237E-2</v>
      </c>
    </row>
    <row r="44" spans="1:12" x14ac:dyDescent="0.25">
      <c r="A44" s="102">
        <v>4</v>
      </c>
      <c r="B44" s="104">
        <v>74.540000000000006</v>
      </c>
      <c r="C44" s="97">
        <f>B44-B43</f>
        <v>6.3000000000000114</v>
      </c>
      <c r="D44" s="98">
        <f t="shared" si="7"/>
        <v>7.9365079365079229E-5</v>
      </c>
      <c r="E44" s="98">
        <f t="shared" si="8"/>
        <v>4.4539353816234893E-6</v>
      </c>
      <c r="F44" s="98">
        <f t="shared" si="9"/>
        <v>5.0559152122532228E-16</v>
      </c>
      <c r="G44" s="98">
        <f t="shared" si="10"/>
        <v>2.2819060787225874E-9</v>
      </c>
      <c r="H44" s="98">
        <f t="shared" si="11"/>
        <v>9.6303146900061394E-18</v>
      </c>
      <c r="I44" s="97">
        <f t="shared" si="12"/>
        <v>3.8844423284874323E-12</v>
      </c>
      <c r="J44" s="98">
        <f t="shared" si="13"/>
        <v>6.0695198777604306E-12</v>
      </c>
      <c r="K44" s="97">
        <f t="shared" si="14"/>
        <v>4.4140066739285721E-17</v>
      </c>
      <c r="L44" s="101">
        <f t="shared" si="15"/>
        <v>8.73038112512457E-2</v>
      </c>
    </row>
    <row r="45" spans="1:12" x14ac:dyDescent="0.25">
      <c r="A45" s="102">
        <v>5</v>
      </c>
      <c r="B45" s="104">
        <v>81.069999999999993</v>
      </c>
      <c r="C45" s="97">
        <f>B45-B44</f>
        <v>6.5299999999999869</v>
      </c>
      <c r="D45" s="98">
        <f t="shared" si="7"/>
        <v>7.6569678407350849E-5</v>
      </c>
      <c r="E45" s="98">
        <f>SQRT(2)*D45*$B$13/C45</f>
        <v>4.1457074146333129E-6</v>
      </c>
      <c r="F45" s="98">
        <f t="shared" si="9"/>
        <v>4.9473294742002796E-16</v>
      </c>
      <c r="G45" s="98">
        <f t="shared" si="10"/>
        <v>2.2328976509061798E-9</v>
      </c>
      <c r="H45" s="98">
        <f t="shared" si="11"/>
        <v>9.4234847127624374E-18</v>
      </c>
      <c r="I45" s="97">
        <f t="shared" si="12"/>
        <v>3.8844423284874323E-12</v>
      </c>
      <c r="J45" s="98">
        <f t="shared" si="13"/>
        <v>5.8557389326019696E-12</v>
      </c>
      <c r="K45" s="97">
        <f t="shared" si="14"/>
        <v>4.2835857387133255E-17</v>
      </c>
      <c r="L45" s="101">
        <f t="shared" si="15"/>
        <v>8.6583797603367693E-2</v>
      </c>
    </row>
    <row r="46" spans="1:12" x14ac:dyDescent="0.25">
      <c r="L46" s="101"/>
    </row>
    <row r="47" spans="1:12" x14ac:dyDescent="0.25">
      <c r="L47" s="101"/>
    </row>
    <row r="49" spans="1:12" x14ac:dyDescent="0.25">
      <c r="A49" s="97" t="s">
        <v>7</v>
      </c>
    </row>
    <row r="50" spans="1:12" x14ac:dyDescent="0.25">
      <c r="B50" s="97" t="s">
        <v>23</v>
      </c>
      <c r="C50" s="97" t="s">
        <v>27</v>
      </c>
      <c r="D50" s="97" t="s">
        <v>24</v>
      </c>
      <c r="E50" s="97" t="s">
        <v>29</v>
      </c>
      <c r="F50" s="97" t="s">
        <v>37</v>
      </c>
      <c r="G50" s="97" t="s">
        <v>39</v>
      </c>
      <c r="H50" s="97" t="s">
        <v>40</v>
      </c>
      <c r="I50" s="97" t="s">
        <v>41</v>
      </c>
      <c r="J50" s="97" t="s">
        <v>42</v>
      </c>
      <c r="K50" s="97" t="s">
        <v>2</v>
      </c>
      <c r="L50" s="97" t="s">
        <v>43</v>
      </c>
    </row>
    <row r="51" spans="1:12" x14ac:dyDescent="0.25">
      <c r="A51" s="102">
        <v>6</v>
      </c>
      <c r="B51" s="105">
        <v>83.58</v>
      </c>
      <c r="C51" s="97">
        <f>B51-B45</f>
        <v>2.5100000000000051</v>
      </c>
      <c r="D51" s="98">
        <f>$B$12/C51</f>
        <v>1.9920318725099562E-4</v>
      </c>
      <c r="E51" s="98">
        <f>SQRT(2)*D51*$B$13/C51</f>
        <v>2.8059347517759432E-5</v>
      </c>
      <c r="F51" s="98">
        <f>-(4*PI()/3)*$F$27^3*($B$9-$B$8)*($B$6/$E$18)*(1-ABS(D51)/$D$27)</f>
        <v>5.7649084499153125E-16</v>
      </c>
      <c r="G51" s="98">
        <f>F51*3/$F$27</f>
        <v>2.6018987824913115E-9</v>
      </c>
      <c r="H51" s="98">
        <f>F51/$E$18</f>
        <v>1.0980777999838691E-17</v>
      </c>
      <c r="I51" s="97">
        <f>-(4*PI()/3)*$F$27^3*($B$9-$B$8)*($B$6/$E$18)*(-1/$D$27)</f>
        <v>3.8844423284874323E-12</v>
      </c>
      <c r="J51" s="98">
        <f>-(4*PI()/3)*$F$27^3*($B$9-$B$8)*($B$6/$E$18)*(-ABS(D51)/$D$27^2)</f>
        <v>1.5234253079637729E-11</v>
      </c>
      <c r="K51" s="97">
        <f>SQRT(G51^2*$I$27^2+H51^2*$F$18^2+I51^2*E51^2+J51^2*$E$28^2)</f>
        <v>1.2105489868284964E-16</v>
      </c>
      <c r="L51" s="101">
        <f>K51/F51</f>
        <v>0.2099858128443097</v>
      </c>
    </row>
    <row r="52" spans="1:12" x14ac:dyDescent="0.25">
      <c r="A52" s="102">
        <v>7</v>
      </c>
      <c r="B52" s="105">
        <v>85.92</v>
      </c>
      <c r="C52" s="97">
        <f>B52-B51</f>
        <v>2.3400000000000034</v>
      </c>
      <c r="D52" s="98">
        <f t="shared" ref="D52:D55" si="16">$B$12/C52</f>
        <v>2.1367521367521338E-4</v>
      </c>
      <c r="E52" s="98">
        <f t="shared" ref="E52:E54" si="17">SQRT(2)*D52*$B$13/C52</f>
        <v>3.2284442854963182E-5</v>
      </c>
      <c r="F52" s="98">
        <f t="shared" ref="F52:F55" si="18">-(4*PI()/3)*$F$27^3*($B$9-$B$8)*($B$6/$E$18)*(1-ABS(D52)/$D$27)</f>
        <v>6.3270659701275139E-16</v>
      </c>
      <c r="G52" s="98">
        <f t="shared" ref="G52:G55" si="19">F52*3/$F$27</f>
        <v>2.8556195449485097E-9</v>
      </c>
      <c r="H52" s="98">
        <f t="shared" ref="H52:H55" si="20">F52/$E$18</f>
        <v>1.2051554228814312E-17</v>
      </c>
      <c r="I52" s="97">
        <f t="shared" ref="I52:I55" si="21">-(4*PI()/3)*$F$27^3*($B$9-$B$8)*($B$6/$E$18)*(-1/$D$27)</f>
        <v>3.8844423284874323E-12</v>
      </c>
      <c r="J52" s="98">
        <f t="shared" ref="J52:J55" si="22">-(4*PI()/3)*$F$27^3*($B$9-$B$8)*($B$6/$E$18)*(-ABS(D52)/$D$27^2)</f>
        <v>1.6341015055508856E-11</v>
      </c>
      <c r="K52" s="97">
        <f t="shared" ref="K52:K55" si="23">SQRT(G52^2*$I$27^2+H52^2*$F$18^2+I52^2*E52^2+J52^2*$E$28^2)</f>
        <v>1.3793449696182751E-16</v>
      </c>
      <c r="L52" s="101">
        <f t="shared" ref="L52:L55" si="24">K52/F52</f>
        <v>0.21800704720492683</v>
      </c>
    </row>
    <row r="53" spans="1:12" x14ac:dyDescent="0.25">
      <c r="A53" s="102">
        <v>8</v>
      </c>
      <c r="B53" s="105">
        <v>87.91</v>
      </c>
      <c r="C53" s="97">
        <f>B53-B52</f>
        <v>1.9899999999999949</v>
      </c>
      <c r="D53" s="98">
        <f t="shared" si="16"/>
        <v>2.5125628140703585E-4</v>
      </c>
      <c r="E53" s="98">
        <f t="shared" si="17"/>
        <v>4.463945236146507E-5</v>
      </c>
      <c r="F53" s="98">
        <f t="shared" si="18"/>
        <v>7.7868808725999576E-16</v>
      </c>
      <c r="G53" s="98">
        <f t="shared" si="19"/>
        <v>3.5144835408653092E-9</v>
      </c>
      <c r="H53" s="98">
        <f t="shared" si="20"/>
        <v>1.4832154043047537E-17</v>
      </c>
      <c r="I53" s="97">
        <f t="shared" si="21"/>
        <v>3.8844423284874323E-12</v>
      </c>
      <c r="J53" s="98">
        <f t="shared" si="22"/>
        <v>1.921506292959341E-11</v>
      </c>
      <c r="K53" s="97">
        <f t="shared" si="23"/>
        <v>1.8693217657928286E-16</v>
      </c>
      <c r="L53" s="101">
        <f t="shared" si="24"/>
        <v>0.2400604036939224</v>
      </c>
    </row>
    <row r="54" spans="1:12" x14ac:dyDescent="0.25">
      <c r="A54" s="102">
        <v>9</v>
      </c>
      <c r="B54" s="105">
        <v>90.23</v>
      </c>
      <c r="C54" s="97">
        <f>B54-B53</f>
        <v>2.3200000000000074</v>
      </c>
      <c r="D54" s="98">
        <f t="shared" si="16"/>
        <v>2.1551724137930966E-4</v>
      </c>
      <c r="E54" s="98">
        <f t="shared" si="17"/>
        <v>3.2843470440070556E-5</v>
      </c>
      <c r="F54" s="98">
        <f t="shared" si="18"/>
        <v>6.3986184739678955E-16</v>
      </c>
      <c r="G54" s="98">
        <f t="shared" si="19"/>
        <v>2.8879136176547695E-9</v>
      </c>
      <c r="H54" s="98">
        <f t="shared" si="20"/>
        <v>1.2187844712319802E-17</v>
      </c>
      <c r="I54" s="97">
        <f t="shared" si="21"/>
        <v>3.8844423284874323E-12</v>
      </c>
      <c r="J54" s="98">
        <f t="shared" si="22"/>
        <v>1.6481885874952872E-11</v>
      </c>
      <c r="K54" s="97">
        <f t="shared" si="23"/>
        <v>1.4016191136128295E-16</v>
      </c>
      <c r="L54" s="101">
        <f t="shared" si="24"/>
        <v>0.21905027144768344</v>
      </c>
    </row>
    <row r="55" spans="1:12" x14ac:dyDescent="0.25">
      <c r="A55" s="102">
        <v>10</v>
      </c>
      <c r="B55" s="105">
        <v>92.43</v>
      </c>
      <c r="C55" s="97">
        <f>B55-B54</f>
        <v>2.2000000000000028</v>
      </c>
      <c r="D55" s="98">
        <f t="shared" si="16"/>
        <v>2.2727272727272697E-4</v>
      </c>
      <c r="E55" s="98">
        <f>SQRT(2)*D55*$B$13/C55</f>
        <v>3.6524110598478602E-5</v>
      </c>
      <c r="F55" s="98">
        <f t="shared" si="18"/>
        <v>6.8552535439311655E-16</v>
      </c>
      <c r="G55" s="98">
        <f t="shared" si="19"/>
        <v>3.094008518016582E-9</v>
      </c>
      <c r="H55" s="98">
        <f t="shared" si="20"/>
        <v>1.3057625797964125E-17</v>
      </c>
      <c r="I55" s="97">
        <f t="shared" si="21"/>
        <v>3.8844423284874323E-12</v>
      </c>
      <c r="J55" s="98">
        <f t="shared" si="22"/>
        <v>1.7380897831768512E-11</v>
      </c>
      <c r="K55" s="97">
        <f t="shared" si="23"/>
        <v>1.5479854344074738E-16</v>
      </c>
      <c r="L55" s="101">
        <f t="shared" si="24"/>
        <v>0.22581009214135891</v>
      </c>
    </row>
    <row r="56" spans="1:12" x14ac:dyDescent="0.25">
      <c r="L56" s="101"/>
    </row>
    <row r="57" spans="1:12" x14ac:dyDescent="0.25">
      <c r="L57" s="101"/>
    </row>
    <row r="59" spans="1:12" x14ac:dyDescent="0.25">
      <c r="B59" s="97" t="s">
        <v>38</v>
      </c>
    </row>
    <row r="60" spans="1:12" x14ac:dyDescent="0.25">
      <c r="A60" s="98"/>
      <c r="B60" s="97" t="s">
        <v>44</v>
      </c>
      <c r="C60" s="97" t="s">
        <v>45</v>
      </c>
    </row>
    <row r="61" spans="1:12" x14ac:dyDescent="0.25">
      <c r="A61" s="97">
        <v>1</v>
      </c>
      <c r="B61" s="98">
        <f>F41</f>
        <v>5.1727298530251887E-16</v>
      </c>
      <c r="C61" s="97">
        <f>K41</f>
        <v>4.5577188343564502E-17</v>
      </c>
    </row>
    <row r="62" spans="1:12" x14ac:dyDescent="0.25">
      <c r="A62" s="97">
        <v>2</v>
      </c>
      <c r="B62" s="98">
        <f t="shared" ref="B62:B65" si="25">F42</f>
        <v>5.2317848180492394E-16</v>
      </c>
      <c r="C62" s="97">
        <f t="shared" ref="C62:C65" si="26">K42</f>
        <v>4.6317467964773414E-17</v>
      </c>
    </row>
    <row r="63" spans="1:12" x14ac:dyDescent="0.25">
      <c r="A63" s="97">
        <v>3</v>
      </c>
      <c r="B63" s="98">
        <f t="shared" si="25"/>
        <v>4.7675873016083938E-16</v>
      </c>
      <c r="C63" s="97">
        <f t="shared" si="26"/>
        <v>4.0741761356800822E-17</v>
      </c>
    </row>
    <row r="64" spans="1:12" x14ac:dyDescent="0.25">
      <c r="A64" s="97">
        <v>4</v>
      </c>
      <c r="B64" s="98">
        <f t="shared" si="25"/>
        <v>5.0559152122532228E-16</v>
      </c>
      <c r="C64" s="97">
        <f t="shared" si="26"/>
        <v>4.4140066739285721E-17</v>
      </c>
    </row>
    <row r="65" spans="1:3" x14ac:dyDescent="0.25">
      <c r="A65" s="97">
        <v>5</v>
      </c>
      <c r="B65" s="98">
        <f t="shared" si="25"/>
        <v>4.9473294742002796E-16</v>
      </c>
      <c r="C65" s="97">
        <f t="shared" si="26"/>
        <v>4.2835857387133255E-17</v>
      </c>
    </row>
    <row r="66" spans="1:3" x14ac:dyDescent="0.25">
      <c r="A66" s="97">
        <v>6</v>
      </c>
      <c r="B66" s="98">
        <f>F51</f>
        <v>5.7649084499153125E-16</v>
      </c>
      <c r="C66" s="97">
        <f>K51</f>
        <v>1.2105489868284964E-16</v>
      </c>
    </row>
    <row r="67" spans="1:3" x14ac:dyDescent="0.25">
      <c r="A67" s="97">
        <v>7</v>
      </c>
      <c r="B67" s="98">
        <f t="shared" ref="B67:B70" si="27">F52</f>
        <v>6.3270659701275139E-16</v>
      </c>
      <c r="C67" s="97">
        <f t="shared" ref="C67:C70" si="28">K52</f>
        <v>1.3793449696182751E-16</v>
      </c>
    </row>
    <row r="68" spans="1:3" x14ac:dyDescent="0.25">
      <c r="A68" s="97">
        <v>8</v>
      </c>
      <c r="B68" s="98">
        <f t="shared" si="27"/>
        <v>7.7868808725999576E-16</v>
      </c>
      <c r="C68" s="97">
        <f t="shared" si="28"/>
        <v>1.8693217657928286E-16</v>
      </c>
    </row>
    <row r="69" spans="1:3" x14ac:dyDescent="0.25">
      <c r="A69" s="97">
        <v>9</v>
      </c>
      <c r="B69" s="98">
        <f t="shared" si="27"/>
        <v>6.3986184739678955E-16</v>
      </c>
      <c r="C69" s="97">
        <f t="shared" si="28"/>
        <v>1.4016191136128295E-16</v>
      </c>
    </row>
    <row r="70" spans="1:3" x14ac:dyDescent="0.25">
      <c r="A70" s="97">
        <v>10</v>
      </c>
      <c r="B70" s="98">
        <f t="shared" si="27"/>
        <v>6.8552535439311655E-16</v>
      </c>
      <c r="C70" s="97">
        <f t="shared" si="28"/>
        <v>1.5479854344074738E-16</v>
      </c>
    </row>
  </sheetData>
  <mergeCells count="2">
    <mergeCell ref="A1:C2"/>
    <mergeCell ref="A14:C15"/>
  </mergeCells>
  <conditionalFormatting sqref="C32:G36">
    <cfRule type="cellIs" dxfId="32" priority="5" operator="notBetween">
      <formula>-1.96</formula>
      <formula>1.96</formula>
    </cfRule>
  </conditionalFormatting>
  <conditionalFormatting sqref="L41:L47">
    <cfRule type="cellIs" priority="4" operator="greaterThan">
      <formula>0.04</formula>
    </cfRule>
  </conditionalFormatting>
  <conditionalFormatting sqref="L51:L57">
    <cfRule type="cellIs" priority="2" operator="greaterThan">
      <formula>0.04</formula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3" operator="greaterThan" id="{45A705DA-3615-4527-A7DD-819A68E2428D}">
            <xm:f>Dati!$B$14</xm:f>
            <x14:dxf>
              <fill>
                <patternFill>
                  <bgColor theme="5"/>
                </patternFill>
              </fill>
            </x14:dxf>
          </x14:cfRule>
          <xm:sqref>L41:L47</xm:sqref>
        </x14:conditionalFormatting>
        <x14:conditionalFormatting xmlns:xm="http://schemas.microsoft.com/office/excel/2006/main">
          <x14:cfRule type="cellIs" priority="1" operator="greaterThan" id="{DB05E5EA-00B7-4C87-86CB-AEFFA6E5D645}">
            <xm:f>Dati!$B$14</xm:f>
            <x14:dxf>
              <fill>
                <patternFill>
                  <bgColor theme="5"/>
                </patternFill>
              </fill>
            </x14:dxf>
          </x14:cfRule>
          <xm:sqref>L51:L57</xm:sqref>
        </x14:conditionalFormatting>
      </x14:conditionalFormatting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workbookViewId="0">
      <selection activeCell="B17" sqref="B17"/>
    </sheetView>
  </sheetViews>
  <sheetFormatPr defaultRowHeight="15" x14ac:dyDescent="0.25"/>
  <cols>
    <col min="1" max="1" width="13.140625" style="106" customWidth="1"/>
    <col min="2" max="2" width="9.140625" style="106"/>
    <col min="3" max="5" width="12" style="106" customWidth="1"/>
    <col min="6" max="7" width="12.140625" style="106" customWidth="1"/>
    <col min="8" max="9" width="12" style="106" customWidth="1"/>
    <col min="10" max="10" width="9.140625" style="106"/>
    <col min="11" max="11" width="12" style="106" customWidth="1"/>
    <col min="12" max="16384" width="9.140625" style="106"/>
  </cols>
  <sheetData>
    <row r="1" spans="1:5" x14ac:dyDescent="0.25">
      <c r="A1" s="187" t="str">
        <f>[1]Dati!A1</f>
        <v>Costanti varie</v>
      </c>
      <c r="B1" s="187"/>
      <c r="C1" s="187"/>
    </row>
    <row r="2" spans="1:5" x14ac:dyDescent="0.25">
      <c r="A2" s="187"/>
      <c r="B2" s="187"/>
      <c r="C2" s="187"/>
    </row>
    <row r="4" spans="1:5" x14ac:dyDescent="0.25">
      <c r="B4" s="106" t="s">
        <v>1</v>
      </c>
      <c r="C4" s="106" t="s">
        <v>2</v>
      </c>
    </row>
    <row r="5" spans="1:5" x14ac:dyDescent="0.25">
      <c r="A5" s="106" t="str">
        <f>[1]Dati!A5</f>
        <v>d</v>
      </c>
      <c r="B5" s="107">
        <v>7.6</v>
      </c>
      <c r="C5" s="106">
        <f>[1]Dati!C5</f>
        <v>1.0000000000000001E-5</v>
      </c>
    </row>
    <row r="6" spans="1:5" x14ac:dyDescent="0.25">
      <c r="A6" s="106" t="str">
        <f>[1]Dati!A6</f>
        <v>g</v>
      </c>
      <c r="B6" s="106">
        <f>[1]Dati!B6</f>
        <v>9.8059999999999992</v>
      </c>
      <c r="C6" s="106">
        <f>[1]Dati!C6</f>
        <v>0</v>
      </c>
    </row>
    <row r="7" spans="1:5" x14ac:dyDescent="0.25">
      <c r="A7" s="106" t="str">
        <f>[1]Dati!A7</f>
        <v>pressione</v>
      </c>
      <c r="B7" s="106">
        <f>[1]Dati!B7</f>
        <v>101325</v>
      </c>
      <c r="C7" s="106">
        <f>[1]Dati!C7</f>
        <v>0</v>
      </c>
    </row>
    <row r="8" spans="1:5" x14ac:dyDescent="0.25">
      <c r="A8" s="106" t="str">
        <f>[1]Dati!A8</f>
        <v>densità aria</v>
      </c>
      <c r="B8" s="106">
        <v>0</v>
      </c>
      <c r="C8" s="106">
        <f>[1]Dati!C8</f>
        <v>0</v>
      </c>
    </row>
    <row r="9" spans="1:5" x14ac:dyDescent="0.25">
      <c r="A9" s="106" t="str">
        <f>[1]Dati!A9</f>
        <v>densità olio</v>
      </c>
      <c r="B9" s="106">
        <v>858.7</v>
      </c>
      <c r="C9" s="106">
        <f>[1]Dati!C9</f>
        <v>0</v>
      </c>
    </row>
    <row r="10" spans="1:5" x14ac:dyDescent="0.25">
      <c r="A10" s="106" t="str">
        <f>[1]Dati!A10</f>
        <v>cst corr vis</v>
      </c>
      <c r="B10" s="106">
        <f>[1]Dati!B10</f>
        <v>8.2000000000000007E-3</v>
      </c>
      <c r="C10" s="106">
        <f>[1]Dati!C10</f>
        <v>0</v>
      </c>
    </row>
    <row r="11" spans="1:5" x14ac:dyDescent="0.25">
      <c r="A11" s="106" t="str">
        <f>[1]Dati!A11</f>
        <v>e</v>
      </c>
      <c r="B11" s="106">
        <f>[1]Dati!B11</f>
        <v>1.6021766200000001E-19</v>
      </c>
      <c r="C11" s="106">
        <f>[1]Dati!C11</f>
        <v>0</v>
      </c>
    </row>
    <row r="12" spans="1:5" x14ac:dyDescent="0.25">
      <c r="A12" s="106" t="str">
        <f>[1]Dati!A12</f>
        <v>deltax</v>
      </c>
      <c r="B12" s="106">
        <f>[1]Dati!B12</f>
        <v>5.0000000000000001E-4</v>
      </c>
      <c r="C12" s="106">
        <f>[1]Dati!C12</f>
        <v>0</v>
      </c>
    </row>
    <row r="13" spans="1:5" x14ac:dyDescent="0.25">
      <c r="A13" s="106" t="s">
        <v>30</v>
      </c>
      <c r="B13" s="106">
        <f>Dati!B13</f>
        <v>0.25</v>
      </c>
    </row>
    <row r="14" spans="1:5" x14ac:dyDescent="0.25">
      <c r="A14" s="187" t="s">
        <v>17</v>
      </c>
      <c r="B14" s="187"/>
      <c r="C14" s="187"/>
      <c r="D14" s="109"/>
    </row>
    <row r="15" spans="1:5" x14ac:dyDescent="0.25">
      <c r="A15" s="187"/>
      <c r="B15" s="187"/>
      <c r="C15" s="187"/>
      <c r="D15" s="109"/>
    </row>
    <row r="16" spans="1:5" x14ac:dyDescent="0.25">
      <c r="A16" s="106" t="s">
        <v>18</v>
      </c>
      <c r="B16" s="106">
        <v>405</v>
      </c>
      <c r="C16" s="106">
        <f>B16/100</f>
        <v>4.05</v>
      </c>
      <c r="D16" s="106" t="s">
        <v>19</v>
      </c>
      <c r="E16" s="106">
        <f>(1.8+(B18-15)*0.004765)*0.00001</f>
        <v>1.8285900000000001E-5</v>
      </c>
    </row>
    <row r="17" spans="1:10" x14ac:dyDescent="0.25">
      <c r="A17" s="106" t="s">
        <v>20</v>
      </c>
      <c r="E17" s="108"/>
    </row>
    <row r="18" spans="1:10" x14ac:dyDescent="0.25">
      <c r="A18" s="106" t="s">
        <v>21</v>
      </c>
      <c r="B18" s="106">
        <v>21</v>
      </c>
      <c r="C18" s="106">
        <v>0.5</v>
      </c>
      <c r="D18" s="106" t="s">
        <v>22</v>
      </c>
      <c r="E18" s="107">
        <f>B16/B5</f>
        <v>53.289473684210527</v>
      </c>
      <c r="F18" s="106">
        <f>SQRT((C16/B5)^2+(B16*C5/B5^2)^2)</f>
        <v>0.53289474145511384</v>
      </c>
      <c r="G18" s="107"/>
    </row>
    <row r="21" spans="1:10" x14ac:dyDescent="0.25">
      <c r="B21" s="106" t="s">
        <v>23</v>
      </c>
      <c r="C21" s="106" t="s">
        <v>27</v>
      </c>
      <c r="D21" s="106" t="s">
        <v>24</v>
      </c>
      <c r="E21" s="106" t="s">
        <v>29</v>
      </c>
      <c r="F21" s="106" t="s">
        <v>25</v>
      </c>
      <c r="G21" s="106" t="s">
        <v>26</v>
      </c>
      <c r="H21" s="106" t="s">
        <v>28</v>
      </c>
      <c r="I21" s="106" t="s">
        <v>31</v>
      </c>
      <c r="J21" s="106" t="s">
        <v>32</v>
      </c>
    </row>
    <row r="22" spans="1:10" x14ac:dyDescent="0.25">
      <c r="A22" s="106">
        <v>1</v>
      </c>
      <c r="B22" s="112">
        <v>7.81</v>
      </c>
      <c r="C22" s="106">
        <f>B22</f>
        <v>7.81</v>
      </c>
      <c r="D22" s="107">
        <f>B12/B22</f>
        <v>6.4020486555697832E-5</v>
      </c>
      <c r="E22" s="107">
        <f>SQRT(2)*D22*$B$13/C22</f>
        <v>2.8981639038665902E-6</v>
      </c>
      <c r="F22" s="5">
        <f>(($B$10/(2*$B$7))^2+9*$E$16*D22/(2*$B$6*($B$9-$B$8)))^(1/2)-$B$10/(2*$B$7)</f>
        <v>7.5153543143602621E-7</v>
      </c>
      <c r="G22" s="106">
        <f>(($B$10/(2*$B$7))^2+9*$E$16*D22/(2*$B$6*($B$9-$B$8)))^(-1/2)*(9*$E$16)/(4*$B$6*$B$9)</f>
        <v>6.169368575467178E-3</v>
      </c>
      <c r="H22" s="106">
        <f>(($B$10/(2*$B$7))^2+9*$E$16*D22/(2*$B$6*($B$9-$B$8)))^(-1/2)*((9*D22)/(4*$B$6*$B$9))*0.00000004765</f>
        <v>1.0292153434600638E-9</v>
      </c>
      <c r="I22" s="106">
        <f>SQRT(G22^2*E22^2+H22^2*$C$18^2+$F$28^2)</f>
        <v>3.1460487281433961E-8</v>
      </c>
      <c r="J22" s="107">
        <f>I22/F22</f>
        <v>4.1861615521332884E-2</v>
      </c>
    </row>
    <row r="23" spans="1:10" x14ac:dyDescent="0.25">
      <c r="A23" s="106">
        <v>2</v>
      </c>
      <c r="B23" s="112">
        <v>15.23</v>
      </c>
      <c r="C23" s="106">
        <f>B23-B22</f>
        <v>7.4200000000000008</v>
      </c>
      <c r="D23" s="107">
        <f>$B$12/(B23-B22)</f>
        <v>6.7385444743935303E-5</v>
      </c>
      <c r="E23" s="107">
        <f t="shared" ref="E23:E25" si="0">SQRT(2)*D23*$B$13/C23</f>
        <v>3.2108291732956904E-6</v>
      </c>
      <c r="F23" s="5">
        <f>(($B$10/(2*$B$7))^2+9*E16*D23/(2*$B$6*($B$9-$B$8)))^(1/2)-$B$10/(2*$B$7)</f>
        <v>7.7202993149801231E-7</v>
      </c>
      <c r="G23" s="106">
        <f t="shared" ref="G23:G27" si="1">(($B$10/(2*$B$7))^2+9*$E$16*D23/(2*$B$6*($B$9-$B$8)))^(-1/2)*(9*$E$16)/(4*$B$6*$B$9)</f>
        <v>6.0137512317789583E-3</v>
      </c>
      <c r="H23" s="106">
        <f t="shared" ref="H23:H27" si="2">(($B$10/(2*$B$7))^2+9*$E$16*D23/(2*$B$6*($B$9-$B$8)))^(-1/2)*((9*D23)/(4*$B$6*$B$9))*0.00000004765</f>
        <v>1.0559859076396885E-9</v>
      </c>
      <c r="I23" s="106">
        <f t="shared" ref="I23:I27" si="3">SQRT(G23^2*E23^2+H23^2*$C$18^2+$F$28^2)</f>
        <v>3.2294425372476635E-8</v>
      </c>
      <c r="J23" s="107">
        <f t="shared" ref="J23:J27" si="4">I23/F23</f>
        <v>4.1830535391048862E-2</v>
      </c>
    </row>
    <row r="24" spans="1:10" x14ac:dyDescent="0.25">
      <c r="A24" s="106">
        <v>3</v>
      </c>
      <c r="B24" s="112">
        <v>23.84</v>
      </c>
      <c r="C24" s="106">
        <f t="shared" ref="C24:C26" si="5">B24-B23</f>
        <v>8.61</v>
      </c>
      <c r="D24" s="107">
        <f>$B$12/(B24-B23)</f>
        <v>5.8072009291521493E-5</v>
      </c>
      <c r="E24" s="107">
        <f t="shared" si="0"/>
        <v>2.384617396467076E-6</v>
      </c>
      <c r="F24" s="5">
        <f>(($B$10/(2*$B$7))^2+9*E16*D24/(2*$B$6*($B$9-$B$8)))^(1/2)-$B$10/(2*$B$7)</f>
        <v>7.139450114225901E-7</v>
      </c>
      <c r="G24" s="106">
        <f t="shared" si="1"/>
        <v>6.4767737063168409E-3</v>
      </c>
      <c r="H24" s="106">
        <f t="shared" si="2"/>
        <v>9.8010395304101783E-10</v>
      </c>
      <c r="I24" s="106">
        <f t="shared" si="3"/>
        <v>3.014274996418255E-8</v>
      </c>
      <c r="J24" s="107">
        <f t="shared" si="4"/>
        <v>4.2219988209065029E-2</v>
      </c>
    </row>
    <row r="25" spans="1:10" x14ac:dyDescent="0.25">
      <c r="A25" s="106">
        <v>4</v>
      </c>
      <c r="B25" s="112">
        <v>32.53</v>
      </c>
      <c r="C25" s="106">
        <f t="shared" si="5"/>
        <v>8.6900000000000013</v>
      </c>
      <c r="D25" s="107">
        <f>$B$12/(B25-B24)</f>
        <v>5.7537399309551199E-5</v>
      </c>
      <c r="E25" s="107">
        <f t="shared" si="0"/>
        <v>2.3409139944546505E-6</v>
      </c>
      <c r="F25" s="5">
        <f>(($B$10/(2*$B$7))^2+9*E16*D25/(2*$B$6*($B$9-$B$8)))^(1/2)-$B$10/(2*$B$7)</f>
        <v>7.1047448075290396E-7</v>
      </c>
      <c r="G25" s="106">
        <f t="shared" si="1"/>
        <v>6.5067067124640375E-3</v>
      </c>
      <c r="H25" s="106">
        <f t="shared" si="2"/>
        <v>9.7556907271951856E-10</v>
      </c>
      <c r="I25" s="106">
        <f t="shared" si="3"/>
        <v>3.0034139387081481E-8</v>
      </c>
      <c r="J25" s="107">
        <f t="shared" si="4"/>
        <v>4.2273354217105312E-2</v>
      </c>
    </row>
    <row r="26" spans="1:10" x14ac:dyDescent="0.25">
      <c r="A26" s="106">
        <v>5</v>
      </c>
      <c r="B26" s="112">
        <v>40.58</v>
      </c>
      <c r="C26" s="106">
        <f t="shared" si="5"/>
        <v>8.0499999999999972</v>
      </c>
      <c r="D26" s="107">
        <f>$B$12/(B26-B25)</f>
        <v>6.2111801242236054E-5</v>
      </c>
      <c r="E26" s="107">
        <f>SQRT(2)*D26*$B$13/C26</f>
        <v>2.7279301770246062E-6</v>
      </c>
      <c r="F26" s="5">
        <f>(($B$10/(2*$B$7))^2+9*E16*D26/(2*$B$6*($B$9-$B$8)))^(1/2)-$B$10/(2*$B$7)</f>
        <v>7.3967118429879613E-7</v>
      </c>
      <c r="G26" s="106">
        <f t="shared" si="1"/>
        <v>6.2631919648456135E-3</v>
      </c>
      <c r="H26" s="106">
        <f t="shared" si="2"/>
        <v>1.0137162571782766E-9</v>
      </c>
      <c r="I26" s="106">
        <f t="shared" si="3"/>
        <v>3.101582902210754E-8</v>
      </c>
      <c r="J26" s="107">
        <f t="shared" si="4"/>
        <v>4.1931914721688612E-2</v>
      </c>
    </row>
    <row r="27" spans="1:10" x14ac:dyDescent="0.25">
      <c r="A27" s="7" t="s">
        <v>34</v>
      </c>
      <c r="B27" s="7"/>
      <c r="C27" s="7">
        <f>AVERAGE(C22:C26)</f>
        <v>8.1159999999999997</v>
      </c>
      <c r="D27" s="7">
        <f>AVERAGE(D22:D26)</f>
        <v>6.1825428228588384E-5</v>
      </c>
      <c r="E27" s="8">
        <f>SQRT(2)*D27*$B$13/C27</f>
        <v>2.6932712882082953E-6</v>
      </c>
      <c r="F27" s="9">
        <f>AVERAGE(F22:F26)</f>
        <v>7.3753120788166574E-7</v>
      </c>
      <c r="G27" s="7">
        <f t="shared" si="1"/>
        <v>6.2776415256803947E-3</v>
      </c>
      <c r="H27" s="7">
        <f t="shared" si="2"/>
        <v>1.0113703329833193E-9</v>
      </c>
      <c r="I27" s="7">
        <f t="shared" si="3"/>
        <v>3.0918025880458757E-8</v>
      </c>
      <c r="J27" s="8">
        <f t="shared" si="4"/>
        <v>4.1920973038227616E-2</v>
      </c>
    </row>
    <row r="28" spans="1:10" x14ac:dyDescent="0.25">
      <c r="A28" s="106" t="s">
        <v>35</v>
      </c>
      <c r="C28" s="6">
        <f>_xlfn.STDEV.S(C22:C26)</f>
        <v>0.53756860027349074</v>
      </c>
      <c r="D28" s="107">
        <f>_xlfn.STDEV.S(D22:D26)</f>
        <v>4.1318706399438565E-6</v>
      </c>
      <c r="E28" s="8">
        <f>SQRT(2)*D28*$B$13/C28</f>
        <v>2.7174892162632681E-6</v>
      </c>
      <c r="F28" s="107">
        <f>_xlfn.STDEV.S(F22:F26)</f>
        <v>2.5880662925772561E-8</v>
      </c>
    </row>
    <row r="30" spans="1:10" x14ac:dyDescent="0.25">
      <c r="A30" s="106" t="s">
        <v>31</v>
      </c>
      <c r="C30" s="106">
        <f t="array" ref="C30:G31">TRANSPOSE(A32:B36)</f>
        <v>3.1460487281433961E-8</v>
      </c>
      <c r="D30" s="106">
        <v>3.2294425372476635E-8</v>
      </c>
      <c r="E30" s="106">
        <v>3.014274996418255E-8</v>
      </c>
      <c r="F30" s="106">
        <v>3.0034139387081481E-8</v>
      </c>
      <c r="G30" s="106">
        <v>3.101582902210754E-8</v>
      </c>
    </row>
    <row r="31" spans="1:10" x14ac:dyDescent="0.25">
      <c r="B31" s="106" t="s">
        <v>25</v>
      </c>
      <c r="C31" s="106">
        <v>7.5153543143602621E-7</v>
      </c>
      <c r="D31" s="106">
        <v>7.7202993149801231E-7</v>
      </c>
      <c r="E31" s="106">
        <v>7.139450114225901E-7</v>
      </c>
      <c r="F31" s="106">
        <v>7.1047448075290396E-7</v>
      </c>
      <c r="G31" s="106">
        <v>7.3967118429879613E-7</v>
      </c>
    </row>
    <row r="32" spans="1:10" x14ac:dyDescent="0.25">
      <c r="A32" s="106">
        <f>I22</f>
        <v>3.1460487281433961E-8</v>
      </c>
      <c r="B32" s="5">
        <f>F22</f>
        <v>7.5153543143602621E-7</v>
      </c>
      <c r="C32" s="106">
        <f t="shared" ref="C32:G36" si="6">(C$31-$B32)/SQRT(C$30^2+$A32^2)</f>
        <v>0</v>
      </c>
      <c r="D32" s="106">
        <f t="shared" si="6"/>
        <v>0.45457078618486485</v>
      </c>
      <c r="E32" s="106">
        <f t="shared" si="6"/>
        <v>-0.86275861672757104</v>
      </c>
      <c r="F32" s="106">
        <f t="shared" si="6"/>
        <v>-0.94403921839894711</v>
      </c>
      <c r="G32" s="106">
        <f t="shared" si="6"/>
        <v>-0.26855223320774524</v>
      </c>
    </row>
    <row r="33" spans="1:12" x14ac:dyDescent="0.25">
      <c r="A33" s="106">
        <f>I23</f>
        <v>3.2294425372476635E-8</v>
      </c>
      <c r="B33" s="5">
        <f>F23</f>
        <v>7.7202993149801231E-7</v>
      </c>
      <c r="C33" s="106">
        <f t="shared" si="6"/>
        <v>-0.45457078618486485</v>
      </c>
      <c r="D33" s="106">
        <f t="shared" si="6"/>
        <v>0</v>
      </c>
      <c r="E33" s="106">
        <f t="shared" si="6"/>
        <v>-1.3148536534954476</v>
      </c>
      <c r="F33" s="106">
        <f t="shared" si="6"/>
        <v>-1.3957544093849537</v>
      </c>
      <c r="G33" s="106">
        <f t="shared" si="6"/>
        <v>-0.7226767605890787</v>
      </c>
    </row>
    <row r="34" spans="1:12" x14ac:dyDescent="0.25">
      <c r="A34" s="106">
        <f>I24</f>
        <v>3.014274996418255E-8</v>
      </c>
      <c r="B34" s="5">
        <f>F24</f>
        <v>7.139450114225901E-7</v>
      </c>
      <c r="C34" s="106">
        <f t="shared" si="6"/>
        <v>0.86275861672757104</v>
      </c>
      <c r="D34" s="106">
        <f t="shared" si="6"/>
        <v>1.3148536534954476</v>
      </c>
      <c r="E34" s="106">
        <f t="shared" si="6"/>
        <v>0</v>
      </c>
      <c r="F34" s="106">
        <f t="shared" si="6"/>
        <v>-8.1560605750892176E-2</v>
      </c>
      <c r="G34" s="106">
        <f t="shared" si="6"/>
        <v>0.59482408687682764</v>
      </c>
    </row>
    <row r="35" spans="1:12" x14ac:dyDescent="0.25">
      <c r="A35" s="106">
        <f>I25</f>
        <v>3.0034139387081481E-8</v>
      </c>
      <c r="B35" s="5">
        <f>F25</f>
        <v>7.1047448075290396E-7</v>
      </c>
      <c r="C35" s="106">
        <f t="shared" si="6"/>
        <v>0.94403921839894711</v>
      </c>
      <c r="D35" s="106">
        <f t="shared" si="6"/>
        <v>1.3957544093849537</v>
      </c>
      <c r="E35" s="106">
        <f t="shared" si="6"/>
        <v>8.1560605750892176E-2</v>
      </c>
      <c r="F35" s="106">
        <f t="shared" si="6"/>
        <v>0</v>
      </c>
      <c r="G35" s="106">
        <f t="shared" si="6"/>
        <v>0.67624993138359724</v>
      </c>
    </row>
    <row r="36" spans="1:12" x14ac:dyDescent="0.25">
      <c r="A36" s="106">
        <f>I26</f>
        <v>3.101582902210754E-8</v>
      </c>
      <c r="B36" s="5">
        <f>F26</f>
        <v>7.3967118429879613E-7</v>
      </c>
      <c r="C36" s="106">
        <f t="shared" si="6"/>
        <v>0.26855223320774524</v>
      </c>
      <c r="D36" s="106">
        <f t="shared" si="6"/>
        <v>0.7226767605890787</v>
      </c>
      <c r="E36" s="106">
        <f t="shared" si="6"/>
        <v>-0.59482408687682764</v>
      </c>
      <c r="F36" s="106">
        <f t="shared" si="6"/>
        <v>-0.67624993138359724</v>
      </c>
      <c r="G36" s="106">
        <f t="shared" si="6"/>
        <v>0</v>
      </c>
    </row>
    <row r="39" spans="1:12" x14ac:dyDescent="0.25">
      <c r="A39" s="106" t="s">
        <v>7</v>
      </c>
    </row>
    <row r="40" spans="1:12" x14ac:dyDescent="0.25">
      <c r="B40" s="106" t="s">
        <v>36</v>
      </c>
      <c r="C40" s="106" t="s">
        <v>27</v>
      </c>
      <c r="D40" s="106" t="s">
        <v>24</v>
      </c>
      <c r="E40" s="106" t="s">
        <v>29</v>
      </c>
      <c r="F40" s="106" t="s">
        <v>37</v>
      </c>
      <c r="G40" s="106" t="s">
        <v>39</v>
      </c>
      <c r="H40" s="106" t="s">
        <v>40</v>
      </c>
      <c r="I40" s="106" t="s">
        <v>41</v>
      </c>
      <c r="J40" s="106" t="s">
        <v>42</v>
      </c>
      <c r="K40" s="106" t="s">
        <v>2</v>
      </c>
      <c r="L40" s="106" t="s">
        <v>43</v>
      </c>
    </row>
    <row r="41" spans="1:12" x14ac:dyDescent="0.25">
      <c r="A41" s="111">
        <v>1</v>
      </c>
      <c r="B41" s="113">
        <v>42.63</v>
      </c>
      <c r="C41" s="106">
        <f>B41-B26</f>
        <v>2.0500000000000043</v>
      </c>
      <c r="D41" s="107">
        <f>$B$12/C41</f>
        <v>2.4390243902438973E-4</v>
      </c>
      <c r="E41" s="107">
        <f>SQRT(2)*D41*$B$13/C41</f>
        <v>4.2064650873679039E-5</v>
      </c>
      <c r="F41" s="107">
        <f>(4*PI()/3)*$F$27^3*($B$9-$B$8)*($B$6/$E$18)*(1+ABS(D41)/$D$27)</f>
        <v>1.3130752910720966E-15</v>
      </c>
      <c r="G41" s="107">
        <f>F41*3/$F$27</f>
        <v>5.3410972052701596E-9</v>
      </c>
      <c r="H41" s="107">
        <f>F41/$E$18</f>
        <v>2.4640425215180084E-17</v>
      </c>
      <c r="I41" s="106">
        <f>(4*PI()/3)*$F$27^3*($B$9-$B$8)*($B$6/$E$18)*(1/$D$27)</f>
        <v>4.2949152881296781E-12</v>
      </c>
      <c r="J41" s="107">
        <f>(4*PI()/3)*$F$27^3*($B$9-$B$8)*($B$6/$E$18)*(ABS(D41)/$D$27^2)</f>
        <v>1.6943518940214643E-11</v>
      </c>
      <c r="K41" s="106">
        <f>SQRT(G41^2*$I$27^2+H41^2*$F$18^2+I41^2*E41^2+J41^2*$E$28^2)</f>
        <v>2.4940314923466662E-16</v>
      </c>
      <c r="L41" s="110">
        <f>K41/F41</f>
        <v>0.18993819389521413</v>
      </c>
    </row>
    <row r="42" spans="1:12" x14ac:dyDescent="0.25">
      <c r="A42" s="111">
        <v>2</v>
      </c>
      <c r="B42" s="113">
        <v>44.14</v>
      </c>
      <c r="C42" s="106">
        <f>B42-B41</f>
        <v>1.509999999999998</v>
      </c>
      <c r="D42" s="107">
        <f t="shared" ref="D42:D45" si="7">$B$12/C42</f>
        <v>3.3112582781456997E-4</v>
      </c>
      <c r="E42" s="107">
        <f t="shared" ref="E42:E44" si="8">SQRT(2)*D42*$B$13/C42</f>
        <v>7.753023783897082E-5</v>
      </c>
      <c r="F42" s="107">
        <f t="shared" ref="F42:F45" si="9">(4*PI()/3)*$F$27^3*($B$9-$B$8)*($B$6/$E$18)*(1+ABS(D42)/$D$27)</f>
        <v>1.6876923570695206E-15</v>
      </c>
      <c r="G42" s="107">
        <f t="shared" ref="G42:G45" si="10">F42*3/$F$27</f>
        <v>6.864898755607525E-9</v>
      </c>
      <c r="H42" s="107">
        <f t="shared" ref="H42:H45" si="11">F42/$E$18</f>
        <v>3.1670276330193472E-17</v>
      </c>
      <c r="I42" s="106">
        <f t="shared" ref="I42:I45" si="12">(4*PI()/3)*$F$27^3*($B$9-$B$8)*($B$6/$E$18)*(1/$D$27)</f>
        <v>4.2949152881296781E-12</v>
      </c>
      <c r="J42" s="107">
        <f t="shared" ref="J42:J45" si="13">(4*PI()/3)*$F$27^3*($B$9-$B$8)*($B$6/$E$18)*(ABS(D42)/$D$27^2)</f>
        <v>2.3002790614198765E-11</v>
      </c>
      <c r="K42" s="106">
        <f t="shared" ref="K42:K45" si="14">SQRT(G42^2*$I$27^2+H42^2*$F$18^2+I42^2*E42^2+J42^2*$E$28^2)</f>
        <v>4.0015190045556195E-16</v>
      </c>
      <c r="L42" s="110">
        <f t="shared" ref="L42:L45" si="15">K42/F42</f>
        <v>0.23710002523823637</v>
      </c>
    </row>
    <row r="43" spans="1:12" x14ac:dyDescent="0.25">
      <c r="A43" s="111">
        <v>3</v>
      </c>
      <c r="B43" s="113">
        <v>45.9</v>
      </c>
      <c r="C43" s="106">
        <f>B43-B42</f>
        <v>1.759999999999998</v>
      </c>
      <c r="D43" s="107">
        <f t="shared" si="7"/>
        <v>2.840909090909094E-4</v>
      </c>
      <c r="E43" s="107">
        <f t="shared" si="8"/>
        <v>5.7068922810123092E-5</v>
      </c>
      <c r="F43" s="107">
        <f t="shared" si="9"/>
        <v>1.4856813655673338E-15</v>
      </c>
      <c r="G43" s="107">
        <f t="shared" si="10"/>
        <v>6.0431939002330578E-9</v>
      </c>
      <c r="H43" s="107">
        <f t="shared" si="11"/>
        <v>2.7879452785954907E-17</v>
      </c>
      <c r="I43" s="106">
        <f t="shared" si="12"/>
        <v>4.2949152881296781E-12</v>
      </c>
      <c r="J43" s="107">
        <f t="shared" si="13"/>
        <v>1.9735348765590981E-11</v>
      </c>
      <c r="K43" s="106">
        <f t="shared" si="14"/>
        <v>3.1318453053586046E-16</v>
      </c>
      <c r="L43" s="110">
        <f t="shared" si="15"/>
        <v>0.21080195107398778</v>
      </c>
    </row>
    <row r="44" spans="1:12" x14ac:dyDescent="0.25">
      <c r="A44" s="111">
        <v>4</v>
      </c>
      <c r="B44" s="113">
        <v>47.77</v>
      </c>
      <c r="C44" s="106">
        <f>B44-B43</f>
        <v>1.8700000000000045</v>
      </c>
      <c r="D44" s="107">
        <f t="shared" si="7"/>
        <v>2.6737967914438438E-4</v>
      </c>
      <c r="E44" s="107">
        <f t="shared" si="8"/>
        <v>5.0552402212427013E-5</v>
      </c>
      <c r="F44" s="107">
        <f t="shared" si="9"/>
        <v>1.413908048586553E-15</v>
      </c>
      <c r="G44" s="107">
        <f t="shared" si="10"/>
        <v>5.751246998676467E-9</v>
      </c>
      <c r="H44" s="107">
        <f t="shared" si="11"/>
        <v>2.6532595479648897E-17</v>
      </c>
      <c r="I44" s="106">
        <f t="shared" si="12"/>
        <v>4.2949152881296781E-12</v>
      </c>
      <c r="J44" s="107">
        <f t="shared" si="13"/>
        <v>1.8574445897026739E-11</v>
      </c>
      <c r="K44" s="106">
        <f t="shared" si="14"/>
        <v>2.8549436647894877E-16</v>
      </c>
      <c r="L44" s="110">
        <f t="shared" si="15"/>
        <v>0.20191862318369999</v>
      </c>
    </row>
    <row r="45" spans="1:12" x14ac:dyDescent="0.25">
      <c r="A45" s="111">
        <v>5</v>
      </c>
      <c r="B45" s="113">
        <v>49.59</v>
      </c>
      <c r="C45" s="106">
        <f>B45-B44</f>
        <v>1.8200000000000003</v>
      </c>
      <c r="D45" s="107">
        <f t="shared" si="7"/>
        <v>2.7472527472527467E-4</v>
      </c>
      <c r="E45" s="107">
        <f>SQRT(2)*D45*$B$13/C45</f>
        <v>5.3368160637796408E-5</v>
      </c>
      <c r="F45" s="107">
        <f t="shared" si="9"/>
        <v>1.4454567593473367E-15</v>
      </c>
      <c r="G45" s="107">
        <f t="shared" si="10"/>
        <v>5.8795753070529934E-9</v>
      </c>
      <c r="H45" s="107">
        <f t="shared" si="11"/>
        <v>2.7124620669233974E-17</v>
      </c>
      <c r="I45" s="106">
        <f t="shared" si="12"/>
        <v>4.2949152881296781E-12</v>
      </c>
      <c r="J45" s="107">
        <f t="shared" si="13"/>
        <v>1.9084732872219823E-11</v>
      </c>
      <c r="K45" s="106">
        <f t="shared" si="14"/>
        <v>2.9745993312562144E-16</v>
      </c>
      <c r="L45" s="110">
        <f t="shared" si="15"/>
        <v>0.20578957564938347</v>
      </c>
    </row>
    <row r="46" spans="1:12" x14ac:dyDescent="0.25">
      <c r="L46" s="110"/>
    </row>
    <row r="47" spans="1:12" x14ac:dyDescent="0.25">
      <c r="L47" s="110"/>
    </row>
    <row r="49" spans="1:12" x14ac:dyDescent="0.25">
      <c r="A49" s="106" t="s">
        <v>7</v>
      </c>
    </row>
    <row r="50" spans="1:12" x14ac:dyDescent="0.25">
      <c r="B50" s="106" t="s">
        <v>23</v>
      </c>
      <c r="C50" s="106" t="s">
        <v>27</v>
      </c>
      <c r="D50" s="106" t="s">
        <v>24</v>
      </c>
      <c r="E50" s="106" t="s">
        <v>29</v>
      </c>
      <c r="F50" s="106" t="s">
        <v>37</v>
      </c>
      <c r="G50" s="106" t="s">
        <v>39</v>
      </c>
      <c r="H50" s="106" t="s">
        <v>40</v>
      </c>
      <c r="I50" s="106" t="s">
        <v>41</v>
      </c>
      <c r="J50" s="106" t="s">
        <v>42</v>
      </c>
      <c r="K50" s="106" t="s">
        <v>2</v>
      </c>
      <c r="L50" s="106" t="s">
        <v>43</v>
      </c>
    </row>
    <row r="51" spans="1:12" x14ac:dyDescent="0.25">
      <c r="A51" s="111">
        <v>6</v>
      </c>
      <c r="B51" s="114">
        <v>51.39</v>
      </c>
      <c r="C51" s="106">
        <f>B51-B45</f>
        <v>1.7999999999999972</v>
      </c>
      <c r="D51" s="107">
        <f>$B$12/C51</f>
        <v>2.7777777777777821E-4</v>
      </c>
      <c r="E51" s="107">
        <f>SQRT(2)*D51*$B$13/C51</f>
        <v>5.4560708424888101E-5</v>
      </c>
      <c r="F51" s="107">
        <f>-(4*PI()/3)*$F$27^3*($B$9-$B$8)*($B$6/$E$18)*(1-ABS(D51)/$D$27)</f>
        <v>9.2749704758633976E-16</v>
      </c>
      <c r="G51" s="107">
        <f>F51*3/$F$27</f>
        <v>3.7727097009913381E-9</v>
      </c>
      <c r="H51" s="107">
        <f>F51/$E$18</f>
        <v>1.7404882868286868E-17</v>
      </c>
      <c r="I51" s="106">
        <f>-(4*PI()/3)*$F$27^3*($B$9-$B$8)*($B$6/$E$18)*(-1/$D$27)</f>
        <v>4.2949152881296781E-12</v>
      </c>
      <c r="J51" s="107">
        <f>-(4*PI()/3)*$F$27^3*($B$9-$B$8)*($B$6/$E$18)*(-ABS(D51)/$D$27^2)</f>
        <v>1.9296785459688968E-11</v>
      </c>
      <c r="K51" s="106">
        <f>SQRT(G51^2*$I$27^2+H51^2*$F$18^2+I51^2*E51^2+J51^2*$E$28^2)</f>
        <v>2.6712187065797547E-16</v>
      </c>
      <c r="L51" s="110">
        <f>K51/F51</f>
        <v>0.28800293365150509</v>
      </c>
    </row>
    <row r="52" spans="1:12" x14ac:dyDescent="0.25">
      <c r="A52" s="111">
        <v>7</v>
      </c>
      <c r="B52" s="114">
        <v>52.74</v>
      </c>
      <c r="C52" s="106">
        <f>B52-B51</f>
        <v>1.3500000000000014</v>
      </c>
      <c r="D52" s="107">
        <f t="shared" ref="D52:D55" si="16">$B$12/C52</f>
        <v>3.7037037037036997E-4</v>
      </c>
      <c r="E52" s="107">
        <f t="shared" ref="E52:E54" si="17">SQRT(2)*D52*$B$13/C52</f>
        <v>9.6996814977578347E-5</v>
      </c>
      <c r="F52" s="107">
        <f t="shared" ref="F52:F55" si="18">-(4*PI()/3)*$F$27^3*($B$9-$B$8)*($B$6/$E$18)*(1-ABS(D52)/$D$27)</f>
        <v>1.3251743890798247E-15</v>
      </c>
      <c r="G52" s="107">
        <f t="shared" ref="G52:G55" si="19">F52*3/$F$27</f>
        <v>5.3903117925788605E-9</v>
      </c>
      <c r="H52" s="107">
        <f t="shared" ref="H52:H55" si="20">F52/$E$18</f>
        <v>2.4867470017300413E-17</v>
      </c>
      <c r="I52" s="106">
        <f t="shared" ref="I52:I55" si="21">-(4*PI()/3)*$F$27^3*($B$9-$B$8)*($B$6/$E$18)*(-1/$D$27)</f>
        <v>4.2949152881296781E-12</v>
      </c>
      <c r="J52" s="107">
        <f t="shared" ref="J52:J55" si="22">-(4*PI()/3)*$F$27^3*($B$9-$B$8)*($B$6/$E$18)*(-ABS(D52)/$D$27^2)</f>
        <v>2.5729047279585225E-11</v>
      </c>
      <c r="K52" s="106">
        <f t="shared" ref="K52:K55" si="23">SQRT(G52^2*$I$27^2+H52^2*$F$18^2+I52^2*E52^2+J52^2*$E$28^2)</f>
        <v>4.5430037269360011E-16</v>
      </c>
      <c r="L52" s="110">
        <f t="shared" ref="L52:L55" si="24">K52/F52</f>
        <v>0.3428230853518513</v>
      </c>
    </row>
    <row r="53" spans="1:12" x14ac:dyDescent="0.25">
      <c r="A53" s="111">
        <v>8</v>
      </c>
      <c r="B53" s="114">
        <v>53.91</v>
      </c>
      <c r="C53" s="106">
        <f>B53-B52</f>
        <v>1.1699999999999946</v>
      </c>
      <c r="D53" s="107">
        <f t="shared" si="16"/>
        <v>4.2735042735042936E-4</v>
      </c>
      <c r="E53" s="107">
        <f t="shared" si="17"/>
        <v>1.291377714198543E-4</v>
      </c>
      <c r="F53" s="107">
        <f t="shared" si="18"/>
        <v>1.569898906921982E-15</v>
      </c>
      <c r="G53" s="107">
        <f t="shared" si="19"/>
        <v>6.3857592335558499E-9</v>
      </c>
      <c r="H53" s="107">
        <f t="shared" si="20"/>
        <v>2.9459831339770524E-17</v>
      </c>
      <c r="I53" s="106">
        <f t="shared" si="21"/>
        <v>4.2949152881296781E-12</v>
      </c>
      <c r="J53" s="107">
        <f t="shared" si="22"/>
        <v>2.9687362245675432E-11</v>
      </c>
      <c r="K53" s="106">
        <f t="shared" si="23"/>
        <v>5.9443787952458443E-16</v>
      </c>
      <c r="L53" s="110">
        <f t="shared" si="24"/>
        <v>0.37864723448344034</v>
      </c>
    </row>
    <row r="54" spans="1:12" x14ac:dyDescent="0.25">
      <c r="A54" s="111">
        <v>9</v>
      </c>
      <c r="B54" s="114">
        <v>55.33</v>
      </c>
      <c r="C54" s="106">
        <f>B54-B53</f>
        <v>1.4200000000000017</v>
      </c>
      <c r="D54" s="107">
        <f t="shared" si="16"/>
        <v>3.5211267605633761E-4</v>
      </c>
      <c r="E54" s="107">
        <f t="shared" si="17"/>
        <v>8.7669458091964119E-5</v>
      </c>
      <c r="F54" s="107">
        <f t="shared" si="18"/>
        <v>1.246759138644489E-15</v>
      </c>
      <c r="G54" s="107">
        <f t="shared" si="19"/>
        <v>5.0713479998714591E-9</v>
      </c>
      <c r="H54" s="107">
        <f t="shared" si="20"/>
        <v>2.3395973959748435E-17</v>
      </c>
      <c r="I54" s="106">
        <f t="shared" si="21"/>
        <v>4.2949152881296781E-12</v>
      </c>
      <c r="J54" s="107">
        <f t="shared" si="22"/>
        <v>2.4460713962985949E-11</v>
      </c>
      <c r="K54" s="106">
        <f t="shared" si="23"/>
        <v>4.1344402290835728E-16</v>
      </c>
      <c r="L54" s="110">
        <f t="shared" si="24"/>
        <v>0.33161499289900137</v>
      </c>
    </row>
    <row r="55" spans="1:12" x14ac:dyDescent="0.25">
      <c r="A55" s="111">
        <v>10</v>
      </c>
      <c r="B55" s="114">
        <v>56.66</v>
      </c>
      <c r="C55" s="106">
        <f>B55-B54</f>
        <v>1.3299999999999983</v>
      </c>
      <c r="D55" s="107">
        <f t="shared" si="16"/>
        <v>3.7593984962406066E-4</v>
      </c>
      <c r="E55" s="107">
        <f>SQRT(2)*D55*$B$13/C55</f>
        <v>9.9935946235873901E-5</v>
      </c>
      <c r="F55" s="107">
        <f t="shared" si="18"/>
        <v>1.3490948306734221E-15</v>
      </c>
      <c r="G55" s="107">
        <f t="shared" si="19"/>
        <v>5.4876111665089552E-9</v>
      </c>
      <c r="H55" s="107">
        <f t="shared" si="20"/>
        <v>2.5316347439797549E-17</v>
      </c>
      <c r="I55" s="106">
        <f t="shared" si="21"/>
        <v>4.2949152881296781E-12</v>
      </c>
      <c r="J55" s="107">
        <f t="shared" si="22"/>
        <v>2.6115950246195592E-11</v>
      </c>
      <c r="K55" s="106">
        <f t="shared" si="23"/>
        <v>4.6715312798839556E-16</v>
      </c>
      <c r="L55" s="110">
        <f t="shared" si="24"/>
        <v>0.34627152766956248</v>
      </c>
    </row>
    <row r="56" spans="1:12" x14ac:dyDescent="0.25">
      <c r="L56" s="110"/>
    </row>
    <row r="57" spans="1:12" x14ac:dyDescent="0.25">
      <c r="L57" s="110"/>
    </row>
    <row r="59" spans="1:12" x14ac:dyDescent="0.25">
      <c r="B59" s="106" t="s">
        <v>38</v>
      </c>
    </row>
    <row r="60" spans="1:12" x14ac:dyDescent="0.25">
      <c r="A60" s="107"/>
      <c r="B60" s="106" t="s">
        <v>44</v>
      </c>
      <c r="C60" s="106" t="s">
        <v>45</v>
      </c>
    </row>
    <row r="61" spans="1:12" x14ac:dyDescent="0.25">
      <c r="A61" s="106">
        <v>1</v>
      </c>
      <c r="B61" s="107">
        <f>F41</f>
        <v>1.3130752910720966E-15</v>
      </c>
      <c r="C61" s="106">
        <f>K41</f>
        <v>2.4940314923466662E-16</v>
      </c>
    </row>
    <row r="62" spans="1:12" x14ac:dyDescent="0.25">
      <c r="A62" s="106">
        <v>2</v>
      </c>
      <c r="B62" s="107">
        <f t="shared" ref="B62:B65" si="25">F42</f>
        <v>1.6876923570695206E-15</v>
      </c>
      <c r="C62" s="106">
        <f t="shared" ref="C62:C65" si="26">K42</f>
        <v>4.0015190045556195E-16</v>
      </c>
    </row>
    <row r="63" spans="1:12" x14ac:dyDescent="0.25">
      <c r="A63" s="106">
        <v>3</v>
      </c>
      <c r="B63" s="107">
        <f t="shared" si="25"/>
        <v>1.4856813655673338E-15</v>
      </c>
      <c r="C63" s="106">
        <f t="shared" si="26"/>
        <v>3.1318453053586046E-16</v>
      </c>
    </row>
    <row r="64" spans="1:12" x14ac:dyDescent="0.25">
      <c r="A64" s="106">
        <v>4</v>
      </c>
      <c r="B64" s="107">
        <f t="shared" si="25"/>
        <v>1.413908048586553E-15</v>
      </c>
      <c r="C64" s="106">
        <f t="shared" si="26"/>
        <v>2.8549436647894877E-16</v>
      </c>
    </row>
    <row r="65" spans="1:3" x14ac:dyDescent="0.25">
      <c r="A65" s="106">
        <v>5</v>
      </c>
      <c r="B65" s="107">
        <f t="shared" si="25"/>
        <v>1.4454567593473367E-15</v>
      </c>
      <c r="C65" s="106">
        <f t="shared" si="26"/>
        <v>2.9745993312562144E-16</v>
      </c>
    </row>
    <row r="66" spans="1:3" x14ac:dyDescent="0.25">
      <c r="A66" s="106">
        <v>6</v>
      </c>
      <c r="B66" s="107">
        <f>F51</f>
        <v>9.2749704758633976E-16</v>
      </c>
      <c r="C66" s="106">
        <f>K51</f>
        <v>2.6712187065797547E-16</v>
      </c>
    </row>
    <row r="67" spans="1:3" x14ac:dyDescent="0.25">
      <c r="A67" s="106">
        <v>7</v>
      </c>
      <c r="B67" s="107">
        <f t="shared" ref="B67:B70" si="27">F52</f>
        <v>1.3251743890798247E-15</v>
      </c>
      <c r="C67" s="106">
        <f t="shared" ref="C67:C70" si="28">K52</f>
        <v>4.5430037269360011E-16</v>
      </c>
    </row>
    <row r="68" spans="1:3" x14ac:dyDescent="0.25">
      <c r="A68" s="106">
        <v>8</v>
      </c>
      <c r="B68" s="107">
        <f t="shared" si="27"/>
        <v>1.569898906921982E-15</v>
      </c>
      <c r="C68" s="106">
        <f t="shared" si="28"/>
        <v>5.9443787952458443E-16</v>
      </c>
    </row>
    <row r="69" spans="1:3" x14ac:dyDescent="0.25">
      <c r="A69" s="106">
        <v>9</v>
      </c>
      <c r="B69" s="107">
        <f t="shared" si="27"/>
        <v>1.246759138644489E-15</v>
      </c>
      <c r="C69" s="106">
        <f t="shared" si="28"/>
        <v>4.1344402290835728E-16</v>
      </c>
    </row>
    <row r="70" spans="1:3" x14ac:dyDescent="0.25">
      <c r="A70" s="106">
        <v>10</v>
      </c>
      <c r="B70" s="107">
        <f t="shared" si="27"/>
        <v>1.3490948306734221E-15</v>
      </c>
      <c r="C70" s="106">
        <f t="shared" si="28"/>
        <v>4.6715312798839556E-16</v>
      </c>
    </row>
  </sheetData>
  <mergeCells count="2">
    <mergeCell ref="A1:C2"/>
    <mergeCell ref="A14:C15"/>
  </mergeCells>
  <conditionalFormatting sqref="C32:G36">
    <cfRule type="cellIs" dxfId="29" priority="5" operator="notBetween">
      <formula>-1.96</formula>
      <formula>1.96</formula>
    </cfRule>
  </conditionalFormatting>
  <conditionalFormatting sqref="L41:L47">
    <cfRule type="cellIs" priority="4" operator="greaterThan">
      <formula>0.04</formula>
    </cfRule>
  </conditionalFormatting>
  <conditionalFormatting sqref="L51:L57">
    <cfRule type="cellIs" priority="2" operator="greaterThan">
      <formula>0.04</formula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3" operator="greaterThan" id="{3E34B18C-4C5E-4111-9391-34407AB4800A}">
            <xm:f>Dati!$B$14</xm:f>
            <x14:dxf>
              <fill>
                <patternFill>
                  <bgColor theme="5"/>
                </patternFill>
              </fill>
            </x14:dxf>
          </x14:cfRule>
          <xm:sqref>L41:L47</xm:sqref>
        </x14:conditionalFormatting>
        <x14:conditionalFormatting xmlns:xm="http://schemas.microsoft.com/office/excel/2006/main">
          <x14:cfRule type="cellIs" priority="1" operator="greaterThan" id="{FECB890D-9018-4003-816F-E82FA483AF4E}">
            <xm:f>Dati!$B$14</xm:f>
            <x14:dxf>
              <fill>
                <patternFill>
                  <bgColor theme="5"/>
                </patternFill>
              </fill>
            </x14:dxf>
          </x14:cfRule>
          <xm:sqref>L51:L57</xm:sqref>
        </x14:conditionalFormatting>
      </x14:conditionalFormatting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topLeftCell="A4" workbookViewId="0">
      <selection activeCell="B51" sqref="B51:B55"/>
    </sheetView>
  </sheetViews>
  <sheetFormatPr defaultRowHeight="15" x14ac:dyDescent="0.25"/>
  <cols>
    <col min="1" max="1" width="13.140625" style="114" customWidth="1"/>
    <col min="2" max="2" width="9.140625" style="114"/>
    <col min="3" max="5" width="12" style="114" customWidth="1"/>
    <col min="6" max="7" width="12.140625" style="114" customWidth="1"/>
    <col min="8" max="9" width="12" style="114" customWidth="1"/>
    <col min="10" max="10" width="9.140625" style="114"/>
    <col min="11" max="11" width="12" style="114" customWidth="1"/>
    <col min="12" max="16384" width="9.140625" style="114"/>
  </cols>
  <sheetData>
    <row r="1" spans="1:5" x14ac:dyDescent="0.25">
      <c r="A1" s="187" t="str">
        <f>[1]Dati!A1</f>
        <v>Costanti varie</v>
      </c>
      <c r="B1" s="187"/>
      <c r="C1" s="187"/>
    </row>
    <row r="2" spans="1:5" x14ac:dyDescent="0.25">
      <c r="A2" s="187"/>
      <c r="B2" s="187"/>
      <c r="C2" s="187"/>
    </row>
    <row r="4" spans="1:5" x14ac:dyDescent="0.25">
      <c r="B4" s="114" t="s">
        <v>1</v>
      </c>
      <c r="C4" s="114" t="s">
        <v>2</v>
      </c>
    </row>
    <row r="5" spans="1:5" x14ac:dyDescent="0.25">
      <c r="A5" s="114" t="str">
        <f>[1]Dati!A5</f>
        <v>d</v>
      </c>
      <c r="B5" s="115">
        <v>7.6</v>
      </c>
      <c r="C5" s="114">
        <f>[1]Dati!C5</f>
        <v>1.0000000000000001E-5</v>
      </c>
    </row>
    <row r="6" spans="1:5" x14ac:dyDescent="0.25">
      <c r="A6" s="114" t="str">
        <f>[1]Dati!A6</f>
        <v>g</v>
      </c>
      <c r="B6" s="114">
        <f>[1]Dati!B6</f>
        <v>9.8059999999999992</v>
      </c>
      <c r="C6" s="114">
        <f>[1]Dati!C6</f>
        <v>0</v>
      </c>
    </row>
    <row r="7" spans="1:5" x14ac:dyDescent="0.25">
      <c r="A7" s="114" t="str">
        <f>[1]Dati!A7</f>
        <v>pressione</v>
      </c>
      <c r="B7" s="114">
        <f>[1]Dati!B7</f>
        <v>101325</v>
      </c>
      <c r="C7" s="114">
        <f>[1]Dati!C7</f>
        <v>0</v>
      </c>
    </row>
    <row r="8" spans="1:5" x14ac:dyDescent="0.25">
      <c r="A8" s="114" t="str">
        <f>[1]Dati!A8</f>
        <v>densità aria</v>
      </c>
      <c r="B8" s="114">
        <v>0</v>
      </c>
      <c r="C8" s="114">
        <f>[1]Dati!C8</f>
        <v>0</v>
      </c>
    </row>
    <row r="9" spans="1:5" x14ac:dyDescent="0.25">
      <c r="A9" s="114" t="str">
        <f>[1]Dati!A9</f>
        <v>densità olio</v>
      </c>
      <c r="B9" s="114">
        <v>858.7</v>
      </c>
      <c r="C9" s="114">
        <f>[1]Dati!C9</f>
        <v>0</v>
      </c>
    </row>
    <row r="10" spans="1:5" x14ac:dyDescent="0.25">
      <c r="A10" s="114" t="str">
        <f>[1]Dati!A10</f>
        <v>cst corr vis</v>
      </c>
      <c r="B10" s="114">
        <f>[1]Dati!B10</f>
        <v>8.2000000000000007E-3</v>
      </c>
      <c r="C10" s="114">
        <f>[1]Dati!C10</f>
        <v>0</v>
      </c>
    </row>
    <row r="11" spans="1:5" x14ac:dyDescent="0.25">
      <c r="A11" s="114" t="str">
        <f>[1]Dati!A11</f>
        <v>e</v>
      </c>
      <c r="B11" s="114">
        <f>[1]Dati!B11</f>
        <v>1.6021766200000001E-19</v>
      </c>
      <c r="C11" s="114">
        <f>[1]Dati!C11</f>
        <v>0</v>
      </c>
    </row>
    <row r="12" spans="1:5" x14ac:dyDescent="0.25">
      <c r="A12" s="114" t="str">
        <f>[1]Dati!A12</f>
        <v>deltax</v>
      </c>
      <c r="B12" s="114">
        <f>[1]Dati!B12</f>
        <v>5.0000000000000001E-4</v>
      </c>
      <c r="C12" s="114">
        <f>[1]Dati!C12</f>
        <v>0</v>
      </c>
    </row>
    <row r="13" spans="1:5" x14ac:dyDescent="0.25">
      <c r="A13" s="114" t="s">
        <v>30</v>
      </c>
      <c r="B13" s="114">
        <f>Dati!B13</f>
        <v>0.25</v>
      </c>
    </row>
    <row r="14" spans="1:5" x14ac:dyDescent="0.25">
      <c r="A14" s="187" t="s">
        <v>17</v>
      </c>
      <c r="B14" s="187"/>
      <c r="C14" s="187"/>
      <c r="D14" s="117"/>
    </row>
    <row r="15" spans="1:5" x14ac:dyDescent="0.25">
      <c r="A15" s="187"/>
      <c r="B15" s="187"/>
      <c r="C15" s="187"/>
      <c r="D15" s="117"/>
    </row>
    <row r="16" spans="1:5" x14ac:dyDescent="0.25">
      <c r="A16" s="114" t="s">
        <v>18</v>
      </c>
      <c r="B16" s="114">
        <v>200</v>
      </c>
      <c r="C16" s="114">
        <f>B16/100</f>
        <v>2</v>
      </c>
      <c r="D16" s="114" t="s">
        <v>19</v>
      </c>
      <c r="E16" s="114">
        <f>(1.8+(B18-15)*0.004765)*0.00001</f>
        <v>1.8262075000000001E-5</v>
      </c>
    </row>
    <row r="17" spans="1:10" x14ac:dyDescent="0.25">
      <c r="A17" s="114" t="s">
        <v>20</v>
      </c>
      <c r="E17" s="116"/>
    </row>
    <row r="18" spans="1:10" x14ac:dyDescent="0.25">
      <c r="A18" s="114" t="s">
        <v>21</v>
      </c>
      <c r="B18" s="114">
        <v>20.5</v>
      </c>
      <c r="C18" s="114">
        <v>0.5</v>
      </c>
      <c r="D18" s="114" t="s">
        <v>22</v>
      </c>
      <c r="E18" s="115">
        <f>B16/B5</f>
        <v>26.315789473684212</v>
      </c>
      <c r="F18" s="114">
        <f>SQRT((C16/B5)^2+(B16*C5/B5^2)^2)</f>
        <v>0.26315789701487097</v>
      </c>
      <c r="G18" s="115"/>
    </row>
    <row r="21" spans="1:10" x14ac:dyDescent="0.25">
      <c r="B21" s="114" t="s">
        <v>23</v>
      </c>
      <c r="C21" s="114" t="s">
        <v>27</v>
      </c>
      <c r="D21" s="114" t="s">
        <v>24</v>
      </c>
      <c r="E21" s="114" t="s">
        <v>29</v>
      </c>
      <c r="F21" s="114" t="s">
        <v>25</v>
      </c>
      <c r="G21" s="114" t="s">
        <v>26</v>
      </c>
      <c r="H21" s="114" t="s">
        <v>28</v>
      </c>
      <c r="I21" s="114" t="s">
        <v>31</v>
      </c>
      <c r="J21" s="114" t="s">
        <v>32</v>
      </c>
    </row>
    <row r="22" spans="1:10" x14ac:dyDescent="0.25">
      <c r="A22" s="114">
        <v>1</v>
      </c>
      <c r="B22" s="120">
        <v>12.15</v>
      </c>
      <c r="C22" s="114">
        <f>B22</f>
        <v>12.15</v>
      </c>
      <c r="D22" s="115">
        <f>B12/B22</f>
        <v>4.1152263374485593E-5</v>
      </c>
      <c r="E22" s="115">
        <f>SQRT(2)*D22*$B$13/C22</f>
        <v>1.1974915429330684E-6</v>
      </c>
      <c r="F22" s="5">
        <f>(($B$10/(2*$B$7))^2+9*$E$16*D22/(2*$B$6*($B$9-$B$8)))^(1/2)-$B$10/(2*$B$7)</f>
        <v>5.9456718816520613E-7</v>
      </c>
      <c r="G22" s="114">
        <f>(($B$10/(2*$B$7))^2+9*$E$16*D22/(2*$B$6*($B$9-$B$8)))^(-1/2)*(9*$E$16)/(4*$B$6*$B$9)</f>
        <v>7.684300377623029E-3</v>
      </c>
      <c r="H22" s="114">
        <f>(($B$10/(2*$B$7))^2+9*$E$16*D22/(2*$B$6*($B$9-$B$8)))^(-1/2)*((9*D22)/(4*$B$6*$B$9))*0.00000004765</f>
        <v>8.251080843719502E-10</v>
      </c>
      <c r="I22" s="114">
        <f>SQRT(G22^2*E22^2+H22^2*$C$18^2+$F$28^2)</f>
        <v>1.8448297840506201E-8</v>
      </c>
      <c r="J22" s="115">
        <f>I22/F22</f>
        <v>3.1028112899126492E-2</v>
      </c>
    </row>
    <row r="23" spans="1:10" x14ac:dyDescent="0.25">
      <c r="A23" s="114">
        <v>2</v>
      </c>
      <c r="B23" s="120">
        <v>24.2</v>
      </c>
      <c r="C23" s="114">
        <f>B23-B22</f>
        <v>12.049999999999999</v>
      </c>
      <c r="D23" s="115">
        <f>$B$12/(B23-B22)</f>
        <v>4.1493775933609964E-5</v>
      </c>
      <c r="E23" s="115">
        <f t="shared" ref="E23:E25" si="0">SQRT(2)*D23*$B$13/C23</f>
        <v>1.2174493916884141E-6</v>
      </c>
      <c r="F23" s="5">
        <f>(($B$10/(2*$B$7))^2+9*E16*D23/(2*$B$6*($B$9-$B$8)))^(1/2)-$B$10/(2*$B$7)</f>
        <v>5.9718607307672547E-7</v>
      </c>
      <c r="G23" s="114">
        <f t="shared" ref="G23:G27" si="1">(($B$10/(2*$B$7))^2+9*$E$16*D23/(2*$B$6*($B$9-$B$8)))^(-1/2)*(9*$E$16)/(4*$B$6*$B$9)</f>
        <v>7.6527402731487162E-3</v>
      </c>
      <c r="H23" s="114">
        <f t="shared" ref="H23:H27" si="2">(($B$10/(2*$B$7))^2+9*$E$16*D23/(2*$B$6*($B$9-$B$8)))^(-1/2)*((9*D23)/(4*$B$6*$B$9))*0.00000004765</f>
        <v>8.2853853938847336E-10</v>
      </c>
      <c r="I23" s="114">
        <f t="shared" ref="I23:I27" si="3">SQRT(G23^2*E23^2+H23^2*$C$18^2+$F$28^2)</f>
        <v>1.850593521953874E-8</v>
      </c>
      <c r="J23" s="115">
        <f t="shared" ref="J23:J27" si="4">I23/F23</f>
        <v>3.0988557928344602E-2</v>
      </c>
    </row>
    <row r="24" spans="1:10" x14ac:dyDescent="0.25">
      <c r="A24" s="114">
        <v>3</v>
      </c>
      <c r="B24" s="120">
        <v>37.92</v>
      </c>
      <c r="C24" s="114">
        <f t="shared" ref="C24:C26" si="5">B24-B23</f>
        <v>13.720000000000002</v>
      </c>
      <c r="D24" s="115">
        <f>$B$12/(B24-B23)</f>
        <v>3.644314868804664E-5</v>
      </c>
      <c r="E24" s="115">
        <f t="shared" si="0"/>
        <v>9.3911069843685892E-7</v>
      </c>
      <c r="F24" s="5">
        <f>(($B$10/(2*$B$7))^2+9*E16*D24/(2*$B$6*($B$9-$B$8)))^(1/2)-$B$10/(2*$B$7)</f>
        <v>5.5728662753449338E-7</v>
      </c>
      <c r="G24" s="114">
        <f t="shared" si="1"/>
        <v>8.1635555769298557E-3</v>
      </c>
      <c r="H24" s="114">
        <f t="shared" si="2"/>
        <v>7.7626146874511045E-10</v>
      </c>
      <c r="I24" s="114">
        <f t="shared" si="3"/>
        <v>1.7731903665404422E-8</v>
      </c>
      <c r="J24" s="115">
        <f t="shared" si="4"/>
        <v>3.1818283068898688E-2</v>
      </c>
    </row>
    <row r="25" spans="1:10" x14ac:dyDescent="0.25">
      <c r="A25" s="114">
        <v>4</v>
      </c>
      <c r="B25" s="120">
        <v>50.53</v>
      </c>
      <c r="C25" s="114">
        <f t="shared" si="5"/>
        <v>12.61</v>
      </c>
      <c r="D25" s="115">
        <f>$B$12/(B25-B24)</f>
        <v>3.9651070578905632E-5</v>
      </c>
      <c r="E25" s="115">
        <f t="shared" si="0"/>
        <v>1.1117185125951856E-6</v>
      </c>
      <c r="F25" s="5">
        <f>(($B$10/(2*$B$7))^2+9*E16*D25/(2*$B$6*($B$9-$B$8)))^(1/2)-$B$10/(2*$B$7)</f>
        <v>5.8292484941675799E-7</v>
      </c>
      <c r="G25" s="114">
        <f t="shared" si="1"/>
        <v>7.8278115249377778E-3</v>
      </c>
      <c r="H25" s="114">
        <f t="shared" si="2"/>
        <v>8.098564791042526E-10</v>
      </c>
      <c r="I25" s="114">
        <f t="shared" si="3"/>
        <v>1.8204098502174574E-8</v>
      </c>
      <c r="J25" s="115">
        <f t="shared" si="4"/>
        <v>3.1228894291242818E-2</v>
      </c>
    </row>
    <row r="26" spans="1:10" x14ac:dyDescent="0.25">
      <c r="A26" s="114">
        <v>5</v>
      </c>
      <c r="B26" s="120">
        <v>62.91</v>
      </c>
      <c r="C26" s="114">
        <f t="shared" si="5"/>
        <v>12.379999999999995</v>
      </c>
      <c r="D26" s="115">
        <f>$B$12/(B26-B25)</f>
        <v>4.0387722132471745E-5</v>
      </c>
      <c r="E26" s="115">
        <f>SQRT(2)*D26*$B$13/C26</f>
        <v>1.1534100240932469E-6</v>
      </c>
      <c r="F26" s="5">
        <f>(($B$10/(2*$B$7))^2+9*E16*D26/(2*$B$6*($B$9-$B$8)))^(1/2)-$B$10/(2*$B$7)</f>
        <v>5.8866479324608991E-7</v>
      </c>
      <c r="G26" s="114">
        <f t="shared" si="1"/>
        <v>7.7563933838929603E-3</v>
      </c>
      <c r="H26" s="114">
        <f t="shared" si="2"/>
        <v>8.1737616586309876E-10</v>
      </c>
      <c r="I26" s="114">
        <f t="shared" si="3"/>
        <v>1.8322067386879124E-8</v>
      </c>
      <c r="J26" s="115">
        <f t="shared" si="4"/>
        <v>3.1124788839239494E-2</v>
      </c>
    </row>
    <row r="27" spans="1:10" x14ac:dyDescent="0.25">
      <c r="A27" s="7" t="s">
        <v>34</v>
      </c>
      <c r="B27" s="7"/>
      <c r="C27" s="7">
        <f>AVERAGE(C22:C26)</f>
        <v>12.581999999999999</v>
      </c>
      <c r="D27" s="7">
        <f>AVERAGE(D22:D26)</f>
        <v>3.9825596141503917E-5</v>
      </c>
      <c r="E27" s="8">
        <f>SQRT(2)*D27*$B$13/C27</f>
        <v>1.11909668957456E-6</v>
      </c>
      <c r="F27" s="9">
        <f>AVERAGE(F22:F26)</f>
        <v>5.8412590628785462E-7</v>
      </c>
      <c r="G27" s="7">
        <f t="shared" si="1"/>
        <v>7.8107131015016902E-3</v>
      </c>
      <c r="H27" s="7">
        <f t="shared" si="2"/>
        <v>8.1164432080241277E-10</v>
      </c>
      <c r="I27" s="7">
        <f t="shared" si="3"/>
        <v>1.8222612032092241E-8</v>
      </c>
      <c r="J27" s="8">
        <f t="shared" si="4"/>
        <v>3.1196377075445477E-2</v>
      </c>
    </row>
    <row r="28" spans="1:10" x14ac:dyDescent="0.25">
      <c r="A28" s="114" t="s">
        <v>35</v>
      </c>
      <c r="C28" s="6">
        <f>_xlfn.STDEV.S(C22:C26)</f>
        <v>0.67198958325259928</v>
      </c>
      <c r="D28" s="115">
        <f>_xlfn.STDEV.S(D22:D26)</f>
        <v>2.0205361505662094E-6</v>
      </c>
      <c r="E28" s="8">
        <f>SQRT(2)*D28*$B$13/C28</f>
        <v>1.063063215044564E-6</v>
      </c>
      <c r="F28" s="115">
        <f>_xlfn.STDEV.S(F22:F26)</f>
        <v>1.598420501794904E-8</v>
      </c>
    </row>
    <row r="30" spans="1:10" x14ac:dyDescent="0.25">
      <c r="A30" s="114" t="s">
        <v>31</v>
      </c>
      <c r="C30" s="114">
        <f t="array" ref="C30:G31">TRANSPOSE(A32:B36)</f>
        <v>1.8448297840506201E-8</v>
      </c>
      <c r="D30" s="114">
        <v>1.850593521953874E-8</v>
      </c>
      <c r="E30" s="114">
        <v>1.7731903665404422E-8</v>
      </c>
      <c r="F30" s="114">
        <v>1.8204098502174574E-8</v>
      </c>
      <c r="G30" s="114">
        <v>1.8322067386879124E-8</v>
      </c>
    </row>
    <row r="31" spans="1:10" x14ac:dyDescent="0.25">
      <c r="B31" s="114" t="s">
        <v>25</v>
      </c>
      <c r="C31" s="114">
        <v>5.9456718816520613E-7</v>
      </c>
      <c r="D31" s="114">
        <v>5.9718607307672547E-7</v>
      </c>
      <c r="E31" s="114">
        <v>5.5728662753449338E-7</v>
      </c>
      <c r="F31" s="114">
        <v>5.8292484941675799E-7</v>
      </c>
      <c r="G31" s="114">
        <v>5.8866479324608991E-7</v>
      </c>
    </row>
    <row r="32" spans="1:10" x14ac:dyDescent="0.25">
      <c r="A32" s="114">
        <f>I22</f>
        <v>1.8448297840506201E-8</v>
      </c>
      <c r="B32" s="5">
        <f>F22</f>
        <v>5.9456718816520613E-7</v>
      </c>
      <c r="C32" s="114">
        <f t="shared" ref="C32:G36" si="6">(C$31-$B32)/SQRT(C$30^2+$A32^2)</f>
        <v>0</v>
      </c>
      <c r="D32" s="114">
        <f t="shared" si="6"/>
        <v>0.10022283642833087</v>
      </c>
      <c r="E32" s="114">
        <f t="shared" si="6"/>
        <v>-1.4569388739361258</v>
      </c>
      <c r="F32" s="114">
        <f t="shared" si="6"/>
        <v>-0.4492035876620265</v>
      </c>
      <c r="G32" s="114">
        <f t="shared" si="6"/>
        <v>-0.22700883462650936</v>
      </c>
    </row>
    <row r="33" spans="1:12" x14ac:dyDescent="0.25">
      <c r="A33" s="114">
        <f>I23</f>
        <v>1.850593521953874E-8</v>
      </c>
      <c r="B33" s="5">
        <f>F23</f>
        <v>5.9718607307672547E-7</v>
      </c>
      <c r="C33" s="114">
        <f t="shared" si="6"/>
        <v>-0.10022283642833087</v>
      </c>
      <c r="D33" s="114">
        <f t="shared" si="6"/>
        <v>0</v>
      </c>
      <c r="E33" s="114">
        <f t="shared" si="6"/>
        <v>-1.5567558992948973</v>
      </c>
      <c r="F33" s="114">
        <f t="shared" si="6"/>
        <v>-0.54937934318441306</v>
      </c>
      <c r="G33" s="114">
        <f t="shared" si="6"/>
        <v>-0.32721729292446172</v>
      </c>
    </row>
    <row r="34" spans="1:12" x14ac:dyDescent="0.25">
      <c r="A34" s="114">
        <f>I24</f>
        <v>1.7731903665404422E-8</v>
      </c>
      <c r="B34" s="5">
        <f>F24</f>
        <v>5.5728662753449338E-7</v>
      </c>
      <c r="C34" s="114">
        <f t="shared" si="6"/>
        <v>1.4569388739361258</v>
      </c>
      <c r="D34" s="114">
        <f t="shared" si="6"/>
        <v>1.5567558992948973</v>
      </c>
      <c r="E34" s="114">
        <f t="shared" si="6"/>
        <v>0</v>
      </c>
      <c r="F34" s="114">
        <f t="shared" si="6"/>
        <v>1.0088710272849146</v>
      </c>
      <c r="G34" s="114">
        <f t="shared" si="6"/>
        <v>1.2306406872246054</v>
      </c>
    </row>
    <row r="35" spans="1:12" x14ac:dyDescent="0.25">
      <c r="A35" s="114">
        <f>I25</f>
        <v>1.8204098502174574E-8</v>
      </c>
      <c r="B35" s="5">
        <f>F25</f>
        <v>5.8292484941675799E-7</v>
      </c>
      <c r="C35" s="114">
        <f t="shared" si="6"/>
        <v>0.4492035876620265</v>
      </c>
      <c r="D35" s="114">
        <f t="shared" si="6"/>
        <v>0.54937934318441306</v>
      </c>
      <c r="E35" s="114">
        <f t="shared" si="6"/>
        <v>-1.0088710272849146</v>
      </c>
      <c r="F35" s="114">
        <f t="shared" si="6"/>
        <v>0</v>
      </c>
      <c r="G35" s="114">
        <f t="shared" si="6"/>
        <v>0.22223696017680045</v>
      </c>
    </row>
    <row r="36" spans="1:12" x14ac:dyDescent="0.25">
      <c r="A36" s="114">
        <f>I26</f>
        <v>1.8322067386879124E-8</v>
      </c>
      <c r="B36" s="5">
        <f>F26</f>
        <v>5.8866479324608991E-7</v>
      </c>
      <c r="C36" s="114">
        <f t="shared" si="6"/>
        <v>0.22700883462650936</v>
      </c>
      <c r="D36" s="114">
        <f t="shared" si="6"/>
        <v>0.32721729292446172</v>
      </c>
      <c r="E36" s="114">
        <f t="shared" si="6"/>
        <v>-1.2306406872246054</v>
      </c>
      <c r="F36" s="114">
        <f t="shared" si="6"/>
        <v>-0.22223696017680045</v>
      </c>
      <c r="G36" s="114">
        <f t="shared" si="6"/>
        <v>0</v>
      </c>
    </row>
    <row r="39" spans="1:12" x14ac:dyDescent="0.25">
      <c r="A39" s="114" t="s">
        <v>7</v>
      </c>
    </row>
    <row r="40" spans="1:12" x14ac:dyDescent="0.25">
      <c r="B40" s="114" t="s">
        <v>36</v>
      </c>
      <c r="C40" s="114" t="s">
        <v>27</v>
      </c>
      <c r="D40" s="114" t="s">
        <v>24</v>
      </c>
      <c r="E40" s="114" t="s">
        <v>29</v>
      </c>
      <c r="F40" s="114" t="s">
        <v>37</v>
      </c>
      <c r="G40" s="114" t="s">
        <v>39</v>
      </c>
      <c r="H40" s="114" t="s">
        <v>40</v>
      </c>
      <c r="I40" s="114" t="s">
        <v>41</v>
      </c>
      <c r="J40" s="114" t="s">
        <v>42</v>
      </c>
      <c r="K40" s="114" t="s">
        <v>2</v>
      </c>
      <c r="L40" s="114" t="s">
        <v>43</v>
      </c>
    </row>
    <row r="41" spans="1:12" x14ac:dyDescent="0.25">
      <c r="A41" s="119">
        <v>1</v>
      </c>
      <c r="B41" s="121">
        <v>66.239999999999995</v>
      </c>
      <c r="C41" s="114">
        <f>B41-B26</f>
        <v>3.3299999999999983</v>
      </c>
      <c r="D41" s="115">
        <f>$B$12/C41</f>
        <v>1.5015015015015022E-4</v>
      </c>
      <c r="E41" s="115">
        <f>SQRT(2)*D41*$B$13/C41</f>
        <v>1.5941770175277715E-5</v>
      </c>
      <c r="F41" s="115">
        <f>(4*PI()/3)*$F$27^3*($B$9-$B$8)*($B$6/$E$18)*(1+ABS(D41)/$D$27)</f>
        <v>1.2742681704773425E-15</v>
      </c>
      <c r="G41" s="115">
        <f>F41*3/$F$27</f>
        <v>6.5444871906574313E-9</v>
      </c>
      <c r="H41" s="115">
        <f>F41/$E$18</f>
        <v>4.842219047813901E-17</v>
      </c>
      <c r="I41" s="114">
        <f>(4*PI()/3)*$F$27^3*($B$9-$B$8)*($B$6/$E$18)*(1/$D$27)</f>
        <v>6.7075308051221631E-12</v>
      </c>
      <c r="J41" s="115">
        <f>(4*PI()/3)*$F$27^3*($B$9-$B$8)*($B$6/$E$18)*(ABS(D41)/$D$27^2)</f>
        <v>2.5288680022450976E-11</v>
      </c>
      <c r="K41" s="114">
        <f>SQRT(G41^2*$I$27^2+H41^2*$F$18^2+I41^2*E41^2+J41^2*$E$28^2)</f>
        <v>1.6291559350677505E-16</v>
      </c>
      <c r="L41" s="118">
        <f>K41/F41</f>
        <v>0.12785032011413003</v>
      </c>
    </row>
    <row r="42" spans="1:12" x14ac:dyDescent="0.25">
      <c r="A42" s="119">
        <v>2</v>
      </c>
      <c r="B42" s="121">
        <v>69.83</v>
      </c>
      <c r="C42" s="114">
        <f>B42-B41</f>
        <v>3.5900000000000034</v>
      </c>
      <c r="D42" s="115">
        <f t="shared" ref="D42:D45" si="7">$B$12/C42</f>
        <v>1.3927576601671296E-4</v>
      </c>
      <c r="E42" s="115">
        <f t="shared" ref="E42:E44" si="8">SQRT(2)*D42*$B$13/C42</f>
        <v>1.371627278626303E-5</v>
      </c>
      <c r="F42" s="115">
        <f t="shared" ref="F42:F45" si="9">(4*PI()/3)*$F$27^3*($B$9-$B$8)*($B$6/$E$18)*(1+ABS(D42)/$D$27)</f>
        <v>1.2013279039155804E-15</v>
      </c>
      <c r="G42" s="115">
        <f t="shared" ref="G42:G45" si="10">F42*3/$F$27</f>
        <v>6.1698748043041158E-9</v>
      </c>
      <c r="H42" s="115">
        <f t="shared" ref="H42:H45" si="11">F42/$E$18</f>
        <v>4.5650460348792054E-17</v>
      </c>
      <c r="I42" s="114">
        <f t="shared" ref="I42:I45" si="12">(4*PI()/3)*$F$27^3*($B$9-$B$8)*($B$6/$E$18)*(1/$D$27)</f>
        <v>6.7075308051221631E-12</v>
      </c>
      <c r="J42" s="115">
        <f t="shared" ref="J42:J45" si="13">(4*PI()/3)*$F$27^3*($B$9-$B$8)*($B$6/$E$18)*(ABS(D42)/$D$27^2)</f>
        <v>2.3457187875978169E-11</v>
      </c>
      <c r="K42" s="114">
        <f t="shared" ref="K42:K45" si="14">SQRT(G42^2*$I$27^2+H42^2*$F$18^2+I42^2*E42^2+J42^2*$E$28^2)</f>
        <v>1.4788967664020083E-16</v>
      </c>
      <c r="L42" s="118">
        <f t="shared" ref="L42:L45" si="15">K42/F42</f>
        <v>0.12310517066836843</v>
      </c>
    </row>
    <row r="43" spans="1:12" x14ac:dyDescent="0.25">
      <c r="A43" s="119">
        <v>3</v>
      </c>
      <c r="B43" s="121">
        <v>73.680000000000007</v>
      </c>
      <c r="C43" s="114">
        <f>B43-B42</f>
        <v>3.8500000000000085</v>
      </c>
      <c r="D43" s="115">
        <f t="shared" si="7"/>
        <v>1.2987012987012957E-4</v>
      </c>
      <c r="E43" s="115">
        <f t="shared" si="8"/>
        <v>1.1926240195421562E-5</v>
      </c>
      <c r="F43" s="115">
        <f t="shared" si="9"/>
        <v>1.1382393097206019E-15</v>
      </c>
      <c r="G43" s="115">
        <f t="shared" si="10"/>
        <v>5.8458594155881315E-9</v>
      </c>
      <c r="H43" s="115">
        <f t="shared" si="11"/>
        <v>4.3253093769382871E-17</v>
      </c>
      <c r="I43" s="114">
        <f t="shared" si="12"/>
        <v>6.7075308051221631E-12</v>
      </c>
      <c r="J43" s="115">
        <f t="shared" si="13"/>
        <v>2.1873066097340653E-11</v>
      </c>
      <c r="K43" s="114">
        <f t="shared" si="14"/>
        <v>1.3571109124465948E-16</v>
      </c>
      <c r="L43" s="118">
        <f t="shared" si="15"/>
        <v>0.11922896185861989</v>
      </c>
    </row>
    <row r="44" spans="1:12" x14ac:dyDescent="0.25">
      <c r="A44" s="119">
        <v>4</v>
      </c>
      <c r="B44" s="121">
        <v>77.23</v>
      </c>
      <c r="C44" s="114">
        <f>B44-B43</f>
        <v>3.5499999999999972</v>
      </c>
      <c r="D44" s="115">
        <f t="shared" si="7"/>
        <v>1.4084507042253533E-4</v>
      </c>
      <c r="E44" s="115">
        <f t="shared" si="8"/>
        <v>1.4027113294714318E-5</v>
      </c>
      <c r="F44" s="115">
        <f t="shared" si="9"/>
        <v>1.211854061560248E-15</v>
      </c>
      <c r="G44" s="115">
        <f t="shared" si="10"/>
        <v>6.2239358767442773E-9</v>
      </c>
      <c r="H44" s="115">
        <f t="shared" si="11"/>
        <v>4.6050454339289421E-17</v>
      </c>
      <c r="I44" s="114">
        <f t="shared" si="12"/>
        <v>6.7075308051221631E-12</v>
      </c>
      <c r="J44" s="115">
        <f t="shared" si="13"/>
        <v>2.3721494218242754E-11</v>
      </c>
      <c r="K44" s="114">
        <f t="shared" si="14"/>
        <v>1.4999490128333539E-16</v>
      </c>
      <c r="L44" s="118">
        <f t="shared" si="15"/>
        <v>0.12377307304661644</v>
      </c>
    </row>
    <row r="45" spans="1:12" x14ac:dyDescent="0.25">
      <c r="A45" s="119">
        <v>5</v>
      </c>
      <c r="B45" s="121">
        <v>81.47</v>
      </c>
      <c r="C45" s="114">
        <f>B45-B44</f>
        <v>4.2399999999999949</v>
      </c>
      <c r="D45" s="115">
        <f t="shared" si="7"/>
        <v>1.1792452830188694E-4</v>
      </c>
      <c r="E45" s="115">
        <f>SQRT(2)*D45*$B$13/C45</f>
        <v>9.8331643432180797E-6</v>
      </c>
      <c r="F45" s="115">
        <f t="shared" si="9"/>
        <v>1.0581138192158989E-15</v>
      </c>
      <c r="G45" s="115">
        <f t="shared" si="10"/>
        <v>5.4343445881741047E-9</v>
      </c>
      <c r="H45" s="115">
        <f t="shared" si="11"/>
        <v>4.0208325130204158E-17</v>
      </c>
      <c r="I45" s="114">
        <f t="shared" si="12"/>
        <v>6.7075308051221631E-12</v>
      </c>
      <c r="J45" s="115">
        <f t="shared" si="13"/>
        <v>1.9861156715745711E-11</v>
      </c>
      <c r="K45" s="114">
        <f t="shared" si="14"/>
        <v>1.2130338045130784E-16</v>
      </c>
      <c r="L45" s="118">
        <f t="shared" si="15"/>
        <v>0.11464114563894279</v>
      </c>
    </row>
    <row r="46" spans="1:12" x14ac:dyDescent="0.25">
      <c r="L46" s="118"/>
    </row>
    <row r="47" spans="1:12" x14ac:dyDescent="0.25">
      <c r="L47" s="118"/>
    </row>
    <row r="49" spans="1:12" x14ac:dyDescent="0.25">
      <c r="A49" s="114" t="s">
        <v>7</v>
      </c>
    </row>
    <row r="50" spans="1:12" x14ac:dyDescent="0.25">
      <c r="B50" s="114" t="s">
        <v>23</v>
      </c>
      <c r="C50" s="114" t="s">
        <v>27</v>
      </c>
      <c r="D50" s="114" t="s">
        <v>24</v>
      </c>
      <c r="E50" s="114" t="s">
        <v>29</v>
      </c>
      <c r="F50" s="114" t="s">
        <v>37</v>
      </c>
      <c r="G50" s="114" t="s">
        <v>39</v>
      </c>
      <c r="H50" s="114" t="s">
        <v>40</v>
      </c>
      <c r="I50" s="114" t="s">
        <v>41</v>
      </c>
      <c r="J50" s="114" t="s">
        <v>42</v>
      </c>
      <c r="K50" s="114" t="s">
        <v>2</v>
      </c>
      <c r="L50" s="114" t="s">
        <v>43</v>
      </c>
    </row>
    <row r="51" spans="1:12" x14ac:dyDescent="0.25">
      <c r="A51" s="119">
        <v>6</v>
      </c>
      <c r="B51" s="122">
        <v>83.89</v>
      </c>
      <c r="C51" s="114">
        <f>B51-B45</f>
        <v>2.4200000000000017</v>
      </c>
      <c r="D51" s="115">
        <f>$B$12/C51</f>
        <v>2.0661157024793374E-4</v>
      </c>
      <c r="E51" s="115">
        <f>SQRT(2)*D51*$B$13/C51</f>
        <v>3.0185215370643506E-5</v>
      </c>
      <c r="F51" s="115">
        <f>-(4*PI()/3)*$F$27^3*($B$9-$B$8)*($B$6/$E$18)*(1-ABS(D51)/$D$27)</f>
        <v>1.1187220591811854E-15</v>
      </c>
      <c r="G51" s="115">
        <f>F51*3/$F$27</f>
        <v>5.7456211775850472E-9</v>
      </c>
      <c r="H51" s="115">
        <f>F51/$E$18</f>
        <v>4.2511438248885046E-17</v>
      </c>
      <c r="I51" s="114">
        <f>-(4*PI()/3)*$F$27^3*($B$9-$B$8)*($B$6/$E$18)*(-1/$D$27)</f>
        <v>6.7075308051221631E-12</v>
      </c>
      <c r="J51" s="115">
        <f>-(4*PI()/3)*$F$27^3*($B$9-$B$8)*($B$6/$E$18)*(-ABS(D51)/$D$27^2)</f>
        <v>3.4798059700314729E-11</v>
      </c>
      <c r="K51" s="114">
        <f>SQRT(G51^2*$I$27^2+H51^2*$F$18^2+I51^2*E51^2+J51^2*$E$28^2)</f>
        <v>2.3119069198029019E-16</v>
      </c>
      <c r="L51" s="118">
        <f>K51/F51</f>
        <v>0.20665605910149226</v>
      </c>
    </row>
    <row r="52" spans="1:12" x14ac:dyDescent="0.25">
      <c r="A52" s="119">
        <v>7</v>
      </c>
      <c r="B52" s="122">
        <v>86.39</v>
      </c>
      <c r="C52" s="114">
        <f>B52-B51</f>
        <v>2.5</v>
      </c>
      <c r="D52" s="115">
        <f t="shared" ref="D52:D55" si="16">$B$12/C52</f>
        <v>2.0000000000000001E-4</v>
      </c>
      <c r="E52" s="115">
        <f t="shared" ref="E52:E54" si="17">SQRT(2)*D52*$B$13/C52</f>
        <v>2.8284271247461902E-5</v>
      </c>
      <c r="F52" s="115">
        <f t="shared" ref="F52:F55" si="18">-(4*PI()/3)*$F$27^3*($B$9-$B$8)*($B$6/$E$18)*(1-ABS(D52)/$D$27)</f>
        <v>1.0743747480729409E-15</v>
      </c>
      <c r="G52" s="115">
        <f t="shared" ref="G52:G55" si="19">F52*3/$F$27</f>
        <v>5.517858751894633E-9</v>
      </c>
      <c r="H52" s="115">
        <f t="shared" ref="H52:H55" si="20">F52/$E$18</f>
        <v>4.0826240426771748E-17</v>
      </c>
      <c r="I52" s="114">
        <f t="shared" ref="I52:I55" si="21">-(4*PI()/3)*$F$27^3*($B$9-$B$8)*($B$6/$E$18)*(-1/$D$27)</f>
        <v>6.7075308051221631E-12</v>
      </c>
      <c r="J52" s="115">
        <f t="shared" ref="J52:J55" si="22">-(4*PI()/3)*$F$27^3*($B$9-$B$8)*($B$6/$E$18)*(-ABS(D52)/$D$27^2)</f>
        <v>3.3684521789904687E-11</v>
      </c>
      <c r="K52" s="114">
        <f t="shared" ref="K52:K55" si="23">SQRT(G52^2*$I$27^2+H52^2*$F$18^2+I52^2*E52^2+J52^2*$E$28^2)</f>
        <v>2.1794663174753685E-16</v>
      </c>
      <c r="L52" s="118">
        <f t="shared" ref="L52:L55" si="24">K52/F52</f>
        <v>0.20285904163184981</v>
      </c>
    </row>
    <row r="53" spans="1:12" x14ac:dyDescent="0.25">
      <c r="A53" s="119">
        <v>8</v>
      </c>
      <c r="B53" s="122">
        <v>88.53</v>
      </c>
      <c r="C53" s="114">
        <f>B53-B52</f>
        <v>2.1400000000000006</v>
      </c>
      <c r="D53" s="115">
        <f t="shared" si="16"/>
        <v>2.3364485981308407E-4</v>
      </c>
      <c r="E53" s="115">
        <f t="shared" si="17"/>
        <v>3.8600902982058873E-5</v>
      </c>
      <c r="F53" s="115">
        <f t="shared" si="18"/>
        <v>1.3000486817032189E-15</v>
      </c>
      <c r="G53" s="115">
        <f t="shared" si="19"/>
        <v>6.6768927779547613E-9</v>
      </c>
      <c r="H53" s="115">
        <f t="shared" si="20"/>
        <v>4.9401849904722315E-17</v>
      </c>
      <c r="I53" s="114">
        <f t="shared" si="21"/>
        <v>6.7075308051221631E-12</v>
      </c>
      <c r="J53" s="115">
        <f t="shared" si="22"/>
        <v>3.9351076857365272E-11</v>
      </c>
      <c r="K53" s="114">
        <f t="shared" si="23"/>
        <v>2.8941416686008377E-16</v>
      </c>
      <c r="L53" s="118">
        <f t="shared" si="24"/>
        <v>0.222617945722553</v>
      </c>
    </row>
    <row r="54" spans="1:12" x14ac:dyDescent="0.25">
      <c r="A54" s="119">
        <v>9</v>
      </c>
      <c r="B54" s="122">
        <v>90.95</v>
      </c>
      <c r="C54" s="114">
        <f>B54-B53</f>
        <v>2.4200000000000017</v>
      </c>
      <c r="D54" s="115">
        <f t="shared" si="16"/>
        <v>2.0661157024793374E-4</v>
      </c>
      <c r="E54" s="115">
        <f t="shared" si="17"/>
        <v>3.0185215370643506E-5</v>
      </c>
      <c r="F54" s="115">
        <f t="shared" si="18"/>
        <v>1.1187220591811854E-15</v>
      </c>
      <c r="G54" s="115">
        <f t="shared" si="19"/>
        <v>5.7456211775850472E-9</v>
      </c>
      <c r="H54" s="115">
        <f t="shared" si="20"/>
        <v>4.2511438248885046E-17</v>
      </c>
      <c r="I54" s="114">
        <f t="shared" si="21"/>
        <v>6.7075308051221631E-12</v>
      </c>
      <c r="J54" s="115">
        <f t="shared" si="22"/>
        <v>3.4798059700314729E-11</v>
      </c>
      <c r="K54" s="114">
        <f t="shared" si="23"/>
        <v>2.3119069198029019E-16</v>
      </c>
      <c r="L54" s="118">
        <f t="shared" si="24"/>
        <v>0.20665605910149226</v>
      </c>
    </row>
    <row r="55" spans="1:12" x14ac:dyDescent="0.25">
      <c r="A55" s="119">
        <v>10</v>
      </c>
      <c r="B55" s="122">
        <v>93.32</v>
      </c>
      <c r="C55" s="114">
        <f>B55-B54</f>
        <v>2.3699999999999903</v>
      </c>
      <c r="D55" s="115">
        <f t="shared" si="16"/>
        <v>2.1097046413502197E-4</v>
      </c>
      <c r="E55" s="115">
        <f>SQRT(2)*D55*$B$13/C55</f>
        <v>3.1472288147668343E-5</v>
      </c>
      <c r="F55" s="115">
        <f t="shared" si="18"/>
        <v>1.1479594742050883E-15</v>
      </c>
      <c r="G55" s="115">
        <f t="shared" si="19"/>
        <v>5.895781004648913E-9</v>
      </c>
      <c r="H55" s="115">
        <f t="shared" si="20"/>
        <v>4.3622460019793353E-17</v>
      </c>
      <c r="I55" s="114">
        <f t="shared" si="21"/>
        <v>6.7075308051221631E-12</v>
      </c>
      <c r="J55" s="115">
        <f t="shared" si="22"/>
        <v>3.5532195980912258E-11</v>
      </c>
      <c r="K55" s="114">
        <f t="shared" si="23"/>
        <v>2.4013530155401837E-16</v>
      </c>
      <c r="L55" s="118">
        <f t="shared" si="24"/>
        <v>0.20918447641220222</v>
      </c>
    </row>
    <row r="56" spans="1:12" x14ac:dyDescent="0.25">
      <c r="L56" s="118"/>
    </row>
    <row r="57" spans="1:12" x14ac:dyDescent="0.25">
      <c r="L57" s="118"/>
    </row>
    <row r="59" spans="1:12" x14ac:dyDescent="0.25">
      <c r="B59" s="114" t="s">
        <v>38</v>
      </c>
    </row>
    <row r="60" spans="1:12" x14ac:dyDescent="0.25">
      <c r="A60" s="115"/>
      <c r="B60" s="114" t="s">
        <v>44</v>
      </c>
      <c r="C60" s="114" t="s">
        <v>45</v>
      </c>
    </row>
    <row r="61" spans="1:12" x14ac:dyDescent="0.25">
      <c r="A61" s="114">
        <v>1</v>
      </c>
      <c r="B61" s="115">
        <f>F41</f>
        <v>1.2742681704773425E-15</v>
      </c>
      <c r="C61" s="114">
        <f>K41</f>
        <v>1.6291559350677505E-16</v>
      </c>
    </row>
    <row r="62" spans="1:12" x14ac:dyDescent="0.25">
      <c r="A62" s="114">
        <v>2</v>
      </c>
      <c r="B62" s="115">
        <f t="shared" ref="B62:B65" si="25">F42</f>
        <v>1.2013279039155804E-15</v>
      </c>
      <c r="C62" s="114">
        <f t="shared" ref="C62:C65" si="26">K42</f>
        <v>1.4788967664020083E-16</v>
      </c>
    </row>
    <row r="63" spans="1:12" x14ac:dyDescent="0.25">
      <c r="A63" s="114">
        <v>3</v>
      </c>
      <c r="B63" s="115">
        <f t="shared" si="25"/>
        <v>1.1382393097206019E-15</v>
      </c>
      <c r="C63" s="114">
        <f t="shared" si="26"/>
        <v>1.3571109124465948E-16</v>
      </c>
    </row>
    <row r="64" spans="1:12" x14ac:dyDescent="0.25">
      <c r="A64" s="114">
        <v>4</v>
      </c>
      <c r="B64" s="115">
        <f t="shared" si="25"/>
        <v>1.211854061560248E-15</v>
      </c>
      <c r="C64" s="114">
        <f t="shared" si="26"/>
        <v>1.4999490128333539E-16</v>
      </c>
    </row>
    <row r="65" spans="1:3" x14ac:dyDescent="0.25">
      <c r="A65" s="114">
        <v>5</v>
      </c>
      <c r="B65" s="115">
        <f t="shared" si="25"/>
        <v>1.0581138192158989E-15</v>
      </c>
      <c r="C65" s="114">
        <f t="shared" si="26"/>
        <v>1.2130338045130784E-16</v>
      </c>
    </row>
    <row r="66" spans="1:3" x14ac:dyDescent="0.25">
      <c r="A66" s="114">
        <v>6</v>
      </c>
      <c r="B66" s="115">
        <f>F51</f>
        <v>1.1187220591811854E-15</v>
      </c>
      <c r="C66" s="114">
        <f>K51</f>
        <v>2.3119069198029019E-16</v>
      </c>
    </row>
    <row r="67" spans="1:3" x14ac:dyDescent="0.25">
      <c r="A67" s="114">
        <v>7</v>
      </c>
      <c r="B67" s="115">
        <f t="shared" ref="B67:B70" si="27">F52</f>
        <v>1.0743747480729409E-15</v>
      </c>
      <c r="C67" s="114">
        <f t="shared" ref="C67:C70" si="28">K52</f>
        <v>2.1794663174753685E-16</v>
      </c>
    </row>
    <row r="68" spans="1:3" x14ac:dyDescent="0.25">
      <c r="A68" s="114">
        <v>8</v>
      </c>
      <c r="B68" s="115">
        <f t="shared" si="27"/>
        <v>1.3000486817032189E-15</v>
      </c>
      <c r="C68" s="114">
        <f t="shared" si="28"/>
        <v>2.8941416686008377E-16</v>
      </c>
    </row>
    <row r="69" spans="1:3" x14ac:dyDescent="0.25">
      <c r="A69" s="114">
        <v>9</v>
      </c>
      <c r="B69" s="115">
        <f t="shared" si="27"/>
        <v>1.1187220591811854E-15</v>
      </c>
      <c r="C69" s="114">
        <f t="shared" si="28"/>
        <v>2.3119069198029019E-16</v>
      </c>
    </row>
    <row r="70" spans="1:3" x14ac:dyDescent="0.25">
      <c r="A70" s="114">
        <v>10</v>
      </c>
      <c r="B70" s="115">
        <f t="shared" si="27"/>
        <v>1.1479594742050883E-15</v>
      </c>
      <c r="C70" s="114">
        <f t="shared" si="28"/>
        <v>2.4013530155401837E-16</v>
      </c>
    </row>
  </sheetData>
  <mergeCells count="2">
    <mergeCell ref="A1:C2"/>
    <mergeCell ref="A14:C15"/>
  </mergeCells>
  <conditionalFormatting sqref="C32:G36">
    <cfRule type="cellIs" dxfId="26" priority="5" operator="notBetween">
      <formula>-1.96</formula>
      <formula>1.96</formula>
    </cfRule>
  </conditionalFormatting>
  <conditionalFormatting sqref="L41:L47">
    <cfRule type="cellIs" priority="4" operator="greaterThan">
      <formula>0.04</formula>
    </cfRule>
  </conditionalFormatting>
  <conditionalFormatting sqref="L51:L57">
    <cfRule type="cellIs" priority="2" operator="greaterThan">
      <formula>0.04</formula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3" operator="greaterThan" id="{95D8905F-92E5-4727-8660-AD9278322D67}">
            <xm:f>Dati!$B$14</xm:f>
            <x14:dxf>
              <fill>
                <patternFill>
                  <bgColor theme="5"/>
                </patternFill>
              </fill>
            </x14:dxf>
          </x14:cfRule>
          <xm:sqref>L41:L47</xm:sqref>
        </x14:conditionalFormatting>
        <x14:conditionalFormatting xmlns:xm="http://schemas.microsoft.com/office/excel/2006/main">
          <x14:cfRule type="cellIs" priority="1" operator="greaterThan" id="{BF367BBA-5E29-4C77-A119-D2D5551A9EF9}">
            <xm:f>Dati!$B$14</xm:f>
            <x14:dxf>
              <fill>
                <patternFill>
                  <bgColor theme="5"/>
                </patternFill>
              </fill>
            </x14:dxf>
          </x14:cfRule>
          <xm:sqref>L51:L57</xm:sqref>
        </x14:conditionalFormatting>
      </x14:conditionalFormatting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workbookViewId="0">
      <selection activeCell="B51" sqref="B51:B55"/>
    </sheetView>
  </sheetViews>
  <sheetFormatPr defaultRowHeight="15" x14ac:dyDescent="0.25"/>
  <cols>
    <col min="1" max="1" width="13.140625" style="122" customWidth="1"/>
    <col min="2" max="2" width="9.140625" style="122"/>
    <col min="3" max="5" width="12" style="122" customWidth="1"/>
    <col min="6" max="7" width="12.140625" style="122" customWidth="1"/>
    <col min="8" max="9" width="12" style="122" customWidth="1"/>
    <col min="10" max="10" width="9.140625" style="122"/>
    <col min="11" max="11" width="12" style="122" customWidth="1"/>
    <col min="12" max="16384" width="9.140625" style="122"/>
  </cols>
  <sheetData>
    <row r="1" spans="1:5" x14ac:dyDescent="0.25">
      <c r="A1" s="187" t="str">
        <f>[1]Dati!A1</f>
        <v>Costanti varie</v>
      </c>
      <c r="B1" s="187"/>
      <c r="C1" s="187"/>
    </row>
    <row r="2" spans="1:5" x14ac:dyDescent="0.25">
      <c r="A2" s="187"/>
      <c r="B2" s="187"/>
      <c r="C2" s="187"/>
    </row>
    <row r="4" spans="1:5" x14ac:dyDescent="0.25">
      <c r="B4" s="122" t="s">
        <v>1</v>
      </c>
      <c r="C4" s="122" t="s">
        <v>2</v>
      </c>
    </row>
    <row r="5" spans="1:5" x14ac:dyDescent="0.25">
      <c r="A5" s="122" t="str">
        <f>[1]Dati!A5</f>
        <v>d</v>
      </c>
      <c r="B5" s="123">
        <v>7.6</v>
      </c>
      <c r="C5" s="122">
        <f>[1]Dati!C5</f>
        <v>1.0000000000000001E-5</v>
      </c>
    </row>
    <row r="6" spans="1:5" x14ac:dyDescent="0.25">
      <c r="A6" s="122" t="str">
        <f>[1]Dati!A6</f>
        <v>g</v>
      </c>
      <c r="B6" s="122">
        <f>[1]Dati!B6</f>
        <v>9.8059999999999992</v>
      </c>
      <c r="C6" s="122">
        <f>[1]Dati!C6</f>
        <v>0</v>
      </c>
    </row>
    <row r="7" spans="1:5" x14ac:dyDescent="0.25">
      <c r="A7" s="122" t="str">
        <f>[1]Dati!A7</f>
        <v>pressione</v>
      </c>
      <c r="B7" s="122">
        <f>[1]Dati!B7</f>
        <v>101325</v>
      </c>
      <c r="C7" s="122">
        <f>[1]Dati!C7</f>
        <v>0</v>
      </c>
    </row>
    <row r="8" spans="1:5" x14ac:dyDescent="0.25">
      <c r="A8" s="122" t="str">
        <f>[1]Dati!A8</f>
        <v>densità aria</v>
      </c>
      <c r="B8" s="122">
        <v>0</v>
      </c>
      <c r="C8" s="122">
        <f>[1]Dati!C8</f>
        <v>0</v>
      </c>
    </row>
    <row r="9" spans="1:5" x14ac:dyDescent="0.25">
      <c r="A9" s="122" t="str">
        <f>[1]Dati!A9</f>
        <v>densità olio</v>
      </c>
      <c r="B9" s="122">
        <v>858.7</v>
      </c>
      <c r="C9" s="122">
        <f>[1]Dati!C9</f>
        <v>0</v>
      </c>
    </row>
    <row r="10" spans="1:5" x14ac:dyDescent="0.25">
      <c r="A10" s="122" t="str">
        <f>[1]Dati!A10</f>
        <v>cst corr vis</v>
      </c>
      <c r="B10" s="122">
        <f>[1]Dati!B10</f>
        <v>8.2000000000000007E-3</v>
      </c>
      <c r="C10" s="122">
        <f>[1]Dati!C10</f>
        <v>0</v>
      </c>
    </row>
    <row r="11" spans="1:5" x14ac:dyDescent="0.25">
      <c r="A11" s="122" t="str">
        <f>[1]Dati!A11</f>
        <v>e</v>
      </c>
      <c r="B11" s="122">
        <f>[1]Dati!B11</f>
        <v>1.6021766200000001E-19</v>
      </c>
      <c r="C11" s="122">
        <f>[1]Dati!C11</f>
        <v>0</v>
      </c>
    </row>
    <row r="12" spans="1:5" x14ac:dyDescent="0.25">
      <c r="A12" s="122" t="str">
        <f>[1]Dati!A12</f>
        <v>deltax</v>
      </c>
      <c r="B12" s="122">
        <f>[1]Dati!B12</f>
        <v>5.0000000000000001E-4</v>
      </c>
      <c r="C12" s="122">
        <f>[1]Dati!C12</f>
        <v>0</v>
      </c>
    </row>
    <row r="13" spans="1:5" x14ac:dyDescent="0.25">
      <c r="A13" s="122" t="s">
        <v>30</v>
      </c>
      <c r="B13" s="122">
        <f>Dati!B13</f>
        <v>0.25</v>
      </c>
    </row>
    <row r="14" spans="1:5" x14ac:dyDescent="0.25">
      <c r="A14" s="187" t="s">
        <v>17</v>
      </c>
      <c r="B14" s="187"/>
      <c r="C14" s="187"/>
      <c r="D14" s="125"/>
    </row>
    <row r="15" spans="1:5" x14ac:dyDescent="0.25">
      <c r="A15" s="187"/>
      <c r="B15" s="187"/>
      <c r="C15" s="187"/>
      <c r="D15" s="125"/>
    </row>
    <row r="16" spans="1:5" x14ac:dyDescent="0.25">
      <c r="A16" s="122" t="s">
        <v>18</v>
      </c>
      <c r="B16" s="122">
        <v>200</v>
      </c>
      <c r="C16" s="122">
        <f>B16/100</f>
        <v>2</v>
      </c>
      <c r="D16" s="122" t="s">
        <v>19</v>
      </c>
      <c r="E16" s="122">
        <f>(1.8+(B18-15)*0.004765)*0.00001</f>
        <v>1.8262075000000001E-5</v>
      </c>
    </row>
    <row r="17" spans="1:10" x14ac:dyDescent="0.25">
      <c r="A17" s="122" t="s">
        <v>20</v>
      </c>
      <c r="E17" s="124"/>
    </row>
    <row r="18" spans="1:10" x14ac:dyDescent="0.25">
      <c r="A18" s="122" t="s">
        <v>21</v>
      </c>
      <c r="B18" s="122">
        <v>20.5</v>
      </c>
      <c r="C18" s="122">
        <v>0.5</v>
      </c>
      <c r="D18" s="122" t="s">
        <v>22</v>
      </c>
      <c r="E18" s="123">
        <f>B16/B5</f>
        <v>26.315789473684212</v>
      </c>
      <c r="F18" s="122">
        <f>SQRT((C16/B5)^2+(B16*C5/B5^2)^2)</f>
        <v>0.26315789701487097</v>
      </c>
      <c r="G18" s="123"/>
    </row>
    <row r="21" spans="1:10" x14ac:dyDescent="0.25">
      <c r="B21" s="122" t="s">
        <v>23</v>
      </c>
      <c r="C21" s="122" t="s">
        <v>27</v>
      </c>
      <c r="D21" s="122" t="s">
        <v>24</v>
      </c>
      <c r="E21" s="122" t="s">
        <v>29</v>
      </c>
      <c r="F21" s="122" t="s">
        <v>25</v>
      </c>
      <c r="G21" s="122" t="s">
        <v>26</v>
      </c>
      <c r="H21" s="122" t="s">
        <v>28</v>
      </c>
      <c r="I21" s="122" t="s">
        <v>31</v>
      </c>
      <c r="J21" s="122" t="s">
        <v>32</v>
      </c>
    </row>
    <row r="22" spans="1:10" x14ac:dyDescent="0.25">
      <c r="A22" s="122">
        <v>1</v>
      </c>
      <c r="B22" s="128">
        <v>16.670000000000002</v>
      </c>
      <c r="C22" s="122">
        <f>B22</f>
        <v>16.670000000000002</v>
      </c>
      <c r="D22" s="123">
        <f>B12/B22</f>
        <v>2.9994001199760046E-5</v>
      </c>
      <c r="E22" s="123">
        <f>SQRT(2)*D22*$B$13/C22</f>
        <v>6.3614162097383836E-7</v>
      </c>
      <c r="F22" s="5">
        <f>(($B$10/(2*$B$7))^2+9*$E$16*D22/(2*$B$6*($B$9-$B$8)))^(1/2)-$B$10/(2*$B$7)</f>
        <v>5.0209023051155735E-7</v>
      </c>
      <c r="G22" s="122">
        <f>(($B$10/(2*$B$7))^2+9*$E$16*D22/(2*$B$6*($B$9-$B$8)))^(-1/2)*(9*$E$16)/(4*$B$6*$B$9)</f>
        <v>8.9940697462266728E-3</v>
      </c>
      <c r="H22" s="122">
        <f>(($B$10/(2*$B$7))^2+9*$E$16*D22/(2*$B$6*($B$9-$B$8)))^(-1/2)*((9*D22)/(4*$B$6*$B$9))*0.00000004765</f>
        <v>7.0388780091356821E-10</v>
      </c>
      <c r="I22" s="122">
        <f>SQRT(G22^2*E22^2+H22^2*$C$18^2+$F$28^2)</f>
        <v>1.2978508324681831E-8</v>
      </c>
      <c r="J22" s="123">
        <f>I22/F22</f>
        <v>2.5848956095916479E-2</v>
      </c>
    </row>
    <row r="23" spans="1:10" x14ac:dyDescent="0.25">
      <c r="A23" s="122">
        <v>2</v>
      </c>
      <c r="B23" s="128">
        <v>32.04</v>
      </c>
      <c r="C23" s="122">
        <f>B23-B22</f>
        <v>15.369999999999997</v>
      </c>
      <c r="D23" s="123">
        <f>$B$12/(B23-B22)</f>
        <v>3.2530904359141192E-5</v>
      </c>
      <c r="E23" s="123">
        <f t="shared" ref="E23:E25" si="0">SQRT(2)*D23*$B$13/C23</f>
        <v>7.4830263729602344E-7</v>
      </c>
      <c r="F23" s="5">
        <f>(($B$10/(2*$B$7))^2+9*E16*D23/(2*$B$6*($B$9-$B$8)))^(1/2)-$B$10/(2*$B$7)</f>
        <v>5.2444670424162051E-7</v>
      </c>
      <c r="G23" s="122">
        <f t="shared" ref="G23:G27" si="1">(($B$10/(2*$B$7))^2+9*$E$16*D23/(2*$B$6*($B$9-$B$8)))^(-1/2)*(9*$E$16)/(4*$B$6*$B$9)</f>
        <v>8.6381272326776903E-3</v>
      </c>
      <c r="H23" s="122">
        <f t="shared" ref="H23:H27" si="2">(($B$10/(2*$B$7))^2+9*$E$16*D23/(2*$B$6*($B$9-$B$8)))^(-1/2)*((9*D23)/(4*$B$6*$B$9))*0.00000004765</f>
        <v>7.3321023097993883E-10</v>
      </c>
      <c r="I23" s="122">
        <f t="shared" ref="I23:I27" si="3">SQRT(G23^2*E23^2+H23^2*$C$18^2+$F$28^2)</f>
        <v>1.3322877378149023E-8</v>
      </c>
      <c r="J23" s="123">
        <f t="shared" ref="J23:J27" si="4">I23/F23</f>
        <v>2.5403682148054788E-2</v>
      </c>
    </row>
    <row r="24" spans="1:10" x14ac:dyDescent="0.25">
      <c r="A24" s="122">
        <v>3</v>
      </c>
      <c r="B24" s="128">
        <v>48.02</v>
      </c>
      <c r="C24" s="122">
        <f t="shared" ref="C24:C26" si="5">B24-B23</f>
        <v>15.980000000000004</v>
      </c>
      <c r="D24" s="123">
        <f>$B$12/(B24-B23)</f>
        <v>3.1289111389236537E-5</v>
      </c>
      <c r="E24" s="123">
        <f t="shared" si="0"/>
        <v>6.9226354319869807E-7</v>
      </c>
      <c r="F24" s="5">
        <f>(($B$10/(2*$B$7))^2+9*E16*D24/(2*$B$6*($B$9-$B$8)))^(1/2)-$B$10/(2*$B$7)</f>
        <v>5.1361611536050924E-7</v>
      </c>
      <c r="G24" s="122">
        <f t="shared" si="1"/>
        <v>8.8069765142692186E-3</v>
      </c>
      <c r="H24" s="122">
        <f t="shared" si="2"/>
        <v>7.1900655622913553E-10</v>
      </c>
      <c r="I24" s="122">
        <f t="shared" si="3"/>
        <v>1.3148452973217105E-8</v>
      </c>
      <c r="J24" s="123">
        <f t="shared" si="4"/>
        <v>2.5599767180179211E-2</v>
      </c>
    </row>
    <row r="25" spans="1:10" x14ac:dyDescent="0.25">
      <c r="A25" s="122">
        <v>4</v>
      </c>
      <c r="B25" s="128">
        <v>63.12</v>
      </c>
      <c r="C25" s="122">
        <f t="shared" si="5"/>
        <v>15.099999999999994</v>
      </c>
      <c r="D25" s="123">
        <f>$B$12/(B25-B24)</f>
        <v>3.3112582781456967E-5</v>
      </c>
      <c r="E25" s="123">
        <f t="shared" si="0"/>
        <v>7.7530237838970669E-7</v>
      </c>
      <c r="F25" s="5">
        <f>(($B$10/(2*$B$7))^2+9*E16*D25/(2*$B$6*($B$9-$B$8)))^(1/2)-$B$10/(2*$B$7)</f>
        <v>5.2944916725998111E-7</v>
      </c>
      <c r="G25" s="122">
        <f t="shared" si="1"/>
        <v>8.5623052906930504E-3</v>
      </c>
      <c r="H25" s="122">
        <f t="shared" si="2"/>
        <v>7.3976971600841102E-10</v>
      </c>
      <c r="I25" s="122">
        <f t="shared" si="3"/>
        <v>1.3408470219296457E-8</v>
      </c>
      <c r="J25" s="123">
        <f t="shared" si="4"/>
        <v>2.5325321198800474E-2</v>
      </c>
    </row>
    <row r="26" spans="1:10" x14ac:dyDescent="0.25">
      <c r="A26" s="122">
        <v>5</v>
      </c>
      <c r="B26" s="128">
        <v>78.27</v>
      </c>
      <c r="C26" s="122">
        <f t="shared" si="5"/>
        <v>15.149999999999999</v>
      </c>
      <c r="D26" s="123">
        <f>$B$12/(B26-B25)</f>
        <v>3.3003300330033008E-5</v>
      </c>
      <c r="E26" s="123">
        <f>SQRT(2)*D26*$B$13/C26</f>
        <v>7.7019331567335196E-7</v>
      </c>
      <c r="F26" s="5">
        <f>(($B$10/(2*$B$7))^2+9*E16*D26/(2*$B$6*($B$9-$B$8)))^(1/2)-$B$10/(2*$B$7)</f>
        <v>5.2851268813833347E-7</v>
      </c>
      <c r="G26" s="122">
        <f t="shared" si="1"/>
        <v>8.5763979984674037E-3</v>
      </c>
      <c r="H26" s="122">
        <f t="shared" si="2"/>
        <v>7.3854180115164331E-10</v>
      </c>
      <c r="I26" s="122">
        <f t="shared" si="3"/>
        <v>1.3392199698334987E-8</v>
      </c>
      <c r="J26" s="123">
        <f t="shared" si="4"/>
        <v>2.5339410006424857E-2</v>
      </c>
    </row>
    <row r="27" spans="1:10" x14ac:dyDescent="0.25">
      <c r="A27" s="7" t="s">
        <v>34</v>
      </c>
      <c r="B27" s="7"/>
      <c r="C27" s="7">
        <f>AVERAGE(C22:C26)</f>
        <v>15.654</v>
      </c>
      <c r="D27" s="7">
        <f>AVERAGE(D22:D26)</f>
        <v>3.1985980011925547E-5</v>
      </c>
      <c r="E27" s="8">
        <f>SQRT(2)*D27*$B$13/C27</f>
        <v>7.2241929760220779E-7</v>
      </c>
      <c r="F27" s="9">
        <f>AVERAGE(F22:F26)</f>
        <v>5.1962298110240036E-7</v>
      </c>
      <c r="G27" s="7">
        <f t="shared" si="1"/>
        <v>8.7110168664420208E-3</v>
      </c>
      <c r="H27" s="7">
        <f t="shared" si="2"/>
        <v>7.2701153083371808E-10</v>
      </c>
      <c r="I27" s="7">
        <f t="shared" si="3"/>
        <v>1.32407060631482E-8</v>
      </c>
      <c r="J27" s="8">
        <f t="shared" si="4"/>
        <v>2.5481371195433904E-2</v>
      </c>
    </row>
    <row r="28" spans="1:10" x14ac:dyDescent="0.25">
      <c r="A28" s="122" t="s">
        <v>35</v>
      </c>
      <c r="C28" s="6">
        <f>_xlfn.STDEV.S(C22:C26)</f>
        <v>0.66710568877802545</v>
      </c>
      <c r="D28" s="123">
        <f>_xlfn.STDEV.S(D22:D26)</f>
        <v>1.3280363737058641E-6</v>
      </c>
      <c r="E28" s="8">
        <f>SQRT(2)*D28*$B$13/C28</f>
        <v>7.0383414600311933E-7</v>
      </c>
      <c r="F28" s="123">
        <f>_xlfn.STDEV.S(F22:F26)</f>
        <v>1.1643978162915469E-8</v>
      </c>
    </row>
    <row r="30" spans="1:10" x14ac:dyDescent="0.25">
      <c r="A30" s="122" t="s">
        <v>31</v>
      </c>
      <c r="C30" s="122">
        <f t="array" ref="C30:G31">TRANSPOSE(A32:B36)</f>
        <v>1.2978508324681831E-8</v>
      </c>
      <c r="D30" s="122">
        <v>1.3322877378149023E-8</v>
      </c>
      <c r="E30" s="122">
        <v>1.3148452973217105E-8</v>
      </c>
      <c r="F30" s="122">
        <v>1.3408470219296457E-8</v>
      </c>
      <c r="G30" s="122">
        <v>1.3392199698334987E-8</v>
      </c>
    </row>
    <row r="31" spans="1:10" x14ac:dyDescent="0.25">
      <c r="B31" s="122" t="s">
        <v>25</v>
      </c>
      <c r="C31" s="122">
        <v>5.0209023051155735E-7</v>
      </c>
      <c r="D31" s="122">
        <v>5.2444670424162051E-7</v>
      </c>
      <c r="E31" s="122">
        <v>5.1361611536050924E-7</v>
      </c>
      <c r="F31" s="122">
        <v>5.2944916725998111E-7</v>
      </c>
      <c r="G31" s="122">
        <v>5.2851268813833347E-7</v>
      </c>
    </row>
    <row r="32" spans="1:10" x14ac:dyDescent="0.25">
      <c r="A32" s="122">
        <f>I22</f>
        <v>1.2978508324681831E-8</v>
      </c>
      <c r="B32" s="5">
        <f>F22</f>
        <v>5.0209023051155735E-7</v>
      </c>
      <c r="C32" s="122">
        <f t="shared" ref="C32:G36" si="6">(C$31-$B32)/SQRT(C$30^2+$A32^2)</f>
        <v>0</v>
      </c>
      <c r="D32" s="122">
        <f t="shared" si="6"/>
        <v>1.2019944119733006</v>
      </c>
      <c r="E32" s="122">
        <f t="shared" si="6"/>
        <v>0.62386580948484216</v>
      </c>
      <c r="F32" s="122">
        <f t="shared" si="6"/>
        <v>1.4661111687736297</v>
      </c>
      <c r="G32" s="122">
        <f t="shared" si="6"/>
        <v>1.4168144730045069</v>
      </c>
    </row>
    <row r="33" spans="1:12" x14ac:dyDescent="0.25">
      <c r="A33" s="122">
        <f>I23</f>
        <v>1.3322877378149023E-8</v>
      </c>
      <c r="B33" s="5">
        <f>F23</f>
        <v>5.2444670424162051E-7</v>
      </c>
      <c r="C33" s="122">
        <f t="shared" si="6"/>
        <v>-1.2019944119733006</v>
      </c>
      <c r="D33" s="122">
        <f t="shared" si="6"/>
        <v>0</v>
      </c>
      <c r="E33" s="122">
        <f t="shared" si="6"/>
        <v>-0.57860458787896685</v>
      </c>
      <c r="F33" s="122">
        <f t="shared" si="6"/>
        <v>0.26465238065996594</v>
      </c>
      <c r="G33" s="122">
        <f t="shared" si="6"/>
        <v>0.21523988853599302</v>
      </c>
    </row>
    <row r="34" spans="1:12" x14ac:dyDescent="0.25">
      <c r="A34" s="122">
        <f>I24</f>
        <v>1.3148452973217105E-8</v>
      </c>
      <c r="B34" s="5">
        <f>F24</f>
        <v>5.1361611536050924E-7</v>
      </c>
      <c r="C34" s="122">
        <f t="shared" si="6"/>
        <v>-0.62386580948484216</v>
      </c>
      <c r="D34" s="122">
        <f t="shared" si="6"/>
        <v>0.57860458787896685</v>
      </c>
      <c r="E34" s="122">
        <f t="shared" si="6"/>
        <v>0</v>
      </c>
      <c r="F34" s="122">
        <f t="shared" si="6"/>
        <v>0.84310382648368565</v>
      </c>
      <c r="G34" s="122">
        <f t="shared" si="6"/>
        <v>0.79372753703509868</v>
      </c>
    </row>
    <row r="35" spans="1:12" x14ac:dyDescent="0.25">
      <c r="A35" s="122">
        <f>I25</f>
        <v>1.3408470219296457E-8</v>
      </c>
      <c r="B35" s="5">
        <f>F25</f>
        <v>5.2944916725998111E-7</v>
      </c>
      <c r="C35" s="122">
        <f t="shared" si="6"/>
        <v>-1.4661111687736297</v>
      </c>
      <c r="D35" s="122">
        <f t="shared" si="6"/>
        <v>-0.26465238065996594</v>
      </c>
      <c r="E35" s="122">
        <f t="shared" si="6"/>
        <v>-0.84310382648368565</v>
      </c>
      <c r="F35" s="122">
        <f t="shared" si="6"/>
        <v>0</v>
      </c>
      <c r="G35" s="122">
        <f t="shared" si="6"/>
        <v>-4.9415974851553364E-2</v>
      </c>
    </row>
    <row r="36" spans="1:12" x14ac:dyDescent="0.25">
      <c r="A36" s="122">
        <f>I26</f>
        <v>1.3392199698334987E-8</v>
      </c>
      <c r="B36" s="5">
        <f>F26</f>
        <v>5.2851268813833347E-7</v>
      </c>
      <c r="C36" s="122">
        <f t="shared" si="6"/>
        <v>-1.4168144730045069</v>
      </c>
      <c r="D36" s="122">
        <f t="shared" si="6"/>
        <v>-0.21523988853599302</v>
      </c>
      <c r="E36" s="122">
        <f t="shared" si="6"/>
        <v>-0.79372753703509868</v>
      </c>
      <c r="F36" s="122">
        <f t="shared" si="6"/>
        <v>4.9415974851553364E-2</v>
      </c>
      <c r="G36" s="122">
        <f t="shared" si="6"/>
        <v>0</v>
      </c>
    </row>
    <row r="39" spans="1:12" x14ac:dyDescent="0.25">
      <c r="A39" s="122" t="s">
        <v>7</v>
      </c>
    </row>
    <row r="40" spans="1:12" x14ac:dyDescent="0.25">
      <c r="B40" s="122" t="s">
        <v>36</v>
      </c>
      <c r="C40" s="122" t="s">
        <v>27</v>
      </c>
      <c r="D40" s="122" t="s">
        <v>24</v>
      </c>
      <c r="E40" s="122" t="s">
        <v>29</v>
      </c>
      <c r="F40" s="122" t="s">
        <v>37</v>
      </c>
      <c r="G40" s="122" t="s">
        <v>39</v>
      </c>
      <c r="H40" s="122" t="s">
        <v>40</v>
      </c>
      <c r="I40" s="122" t="s">
        <v>41</v>
      </c>
      <c r="J40" s="122" t="s">
        <v>42</v>
      </c>
      <c r="K40" s="122" t="s">
        <v>2</v>
      </c>
      <c r="L40" s="122" t="s">
        <v>43</v>
      </c>
    </row>
    <row r="41" spans="1:12" x14ac:dyDescent="0.25">
      <c r="A41" s="127">
        <v>1</v>
      </c>
      <c r="B41" s="129">
        <v>81.23</v>
      </c>
      <c r="C41" s="122">
        <f>B41-B26</f>
        <v>2.960000000000008</v>
      </c>
      <c r="D41" s="123">
        <f>$B$12/C41</f>
        <v>1.6891891891891847E-4</v>
      </c>
      <c r="E41" s="123">
        <f>SQRT(2)*D41*$B$13/C41</f>
        <v>2.0176302878085732E-5</v>
      </c>
      <c r="F41" s="123">
        <f>(4*PI()/3)*$F$27^3*($B$9-$B$8)*($B$6/$E$18)*(1+ABS(D41)/$D$27)</f>
        <v>1.1811402613976141E-15</v>
      </c>
      <c r="G41" s="123">
        <f>F41*3/$F$27</f>
        <v>6.8192149174683104E-9</v>
      </c>
      <c r="H41" s="123">
        <f>F41/$E$18</f>
        <v>4.4883329933109334E-17</v>
      </c>
      <c r="I41" s="122">
        <f>(4*PI()/3)*$F$27^3*($B$9-$B$8)*($B$6/$E$18)*(1/$D$27)</f>
        <v>5.8791013443837876E-12</v>
      </c>
      <c r="J41" s="123">
        <f>(4*PI()/3)*$F$27^3*($B$9-$B$8)*($B$6/$E$18)*(ABS(D41)/$D$27^2)</f>
        <v>3.1047710369912341E-11</v>
      </c>
      <c r="K41" s="122">
        <f>SQRT(G41^2*$I$27^2+H41^2*$F$18^2+I41^2*E41^2+J41^2*$E$28^2)</f>
        <v>1.5112874738751899E-16</v>
      </c>
      <c r="L41" s="126">
        <f>K41/F41</f>
        <v>0.12795156708035005</v>
      </c>
    </row>
    <row r="42" spans="1:12" x14ac:dyDescent="0.25">
      <c r="A42" s="127">
        <v>2</v>
      </c>
      <c r="B42" s="129">
        <v>83.69</v>
      </c>
      <c r="C42" s="122">
        <f>B42-B41</f>
        <v>2.4599999999999937</v>
      </c>
      <c r="D42" s="123">
        <f t="shared" ref="D42:D45" si="7">$B$12/C42</f>
        <v>2.0325203252032572E-4</v>
      </c>
      <c r="E42" s="123">
        <f t="shared" ref="E42:E44" si="8">SQRT(2)*D42*$B$13/C42</f>
        <v>2.9211563106721823E-5</v>
      </c>
      <c r="F42" s="123">
        <f t="shared" ref="F42:F45" si="9">(4*PI()/3)*$F$27^3*($B$9-$B$8)*($B$6/$E$18)*(1+ABS(D42)/$D$27)</f>
        <v>1.3829881157285288E-15</v>
      </c>
      <c r="G42" s="123">
        <f t="shared" ref="G42:G45" si="10">F42*3/$F$27</f>
        <v>7.9845666917644732E-9</v>
      </c>
      <c r="H42" s="123">
        <f t="shared" ref="H42:H45" si="11">F42/$E$18</f>
        <v>5.2553548397684089E-17</v>
      </c>
      <c r="I42" s="122">
        <f t="shared" ref="I42:I45" si="12">(4*PI()/3)*$F$27^3*($B$9-$B$8)*($B$6/$E$18)*(1/$D$27)</f>
        <v>5.8791013443837876E-12</v>
      </c>
      <c r="J42" s="123">
        <f t="shared" ref="J42:J45" si="13">(4*PI()/3)*$F$27^3*($B$9-$B$8)*($B$6/$E$18)*(ABS(D42)/$D$27^2)</f>
        <v>3.7358220607699605E-11</v>
      </c>
      <c r="K42" s="122">
        <f t="shared" ref="K42:K45" si="14">SQRT(G42^2*$I$27^2+H42^2*$F$18^2+I42^2*E42^2+J42^2*$E$28^2)</f>
        <v>2.0384671769158471E-16</v>
      </c>
      <c r="L42" s="126">
        <f t="shared" ref="L42:L45" si="15">K42/F42</f>
        <v>0.14739585638753128</v>
      </c>
    </row>
    <row r="43" spans="1:12" x14ac:dyDescent="0.25">
      <c r="A43" s="127">
        <v>3</v>
      </c>
      <c r="B43" s="129">
        <v>86.9</v>
      </c>
      <c r="C43" s="122">
        <f>B43-B42</f>
        <v>3.210000000000008</v>
      </c>
      <c r="D43" s="123">
        <f t="shared" si="7"/>
        <v>1.5576323987538904E-4</v>
      </c>
      <c r="E43" s="123">
        <f t="shared" si="8"/>
        <v>1.7155956880914979E-5</v>
      </c>
      <c r="F43" s="123">
        <f t="shared" si="9"/>
        <v>1.1037966910465188E-15</v>
      </c>
      <c r="G43" s="123">
        <f t="shared" si="10"/>
        <v>6.3726782562894225E-9</v>
      </c>
      <c r="H43" s="123">
        <f t="shared" si="11"/>
        <v>4.1944274259767708E-17</v>
      </c>
      <c r="I43" s="122">
        <f t="shared" si="12"/>
        <v>5.8791013443837876E-12</v>
      </c>
      <c r="J43" s="123">
        <f t="shared" si="13"/>
        <v>2.8629664390947215E-11</v>
      </c>
      <c r="K43" s="122">
        <f t="shared" si="14"/>
        <v>1.3349426980595811E-16</v>
      </c>
      <c r="L43" s="126">
        <f t="shared" si="15"/>
        <v>0.12094099474006494</v>
      </c>
    </row>
    <row r="44" spans="1:12" x14ac:dyDescent="0.25">
      <c r="A44" s="127">
        <v>4</v>
      </c>
      <c r="B44" s="129">
        <v>90.02</v>
      </c>
      <c r="C44" s="122">
        <f>B44-B43</f>
        <v>3.1199999999999903</v>
      </c>
      <c r="D44" s="123">
        <f t="shared" si="7"/>
        <v>1.6025641025641074E-4</v>
      </c>
      <c r="E44" s="123">
        <f t="shared" si="8"/>
        <v>1.8159999105916953E-5</v>
      </c>
      <c r="F44" s="123">
        <f t="shared" si="9"/>
        <v>1.1302124950741287E-15</v>
      </c>
      <c r="G44" s="123">
        <f t="shared" si="10"/>
        <v>6.5251877005690101E-9</v>
      </c>
      <c r="H44" s="123">
        <f t="shared" si="11"/>
        <v>4.2948074812816886E-17</v>
      </c>
      <c r="I44" s="122">
        <f t="shared" si="12"/>
        <v>5.8791013443837876E-12</v>
      </c>
      <c r="J44" s="123">
        <f t="shared" si="13"/>
        <v>2.9455520094532391E-11</v>
      </c>
      <c r="K44" s="122">
        <f t="shared" si="14"/>
        <v>1.3935863487318653E-16</v>
      </c>
      <c r="L44" s="126">
        <f t="shared" si="15"/>
        <v>0.12330303857067713</v>
      </c>
    </row>
    <row r="45" spans="1:12" x14ac:dyDescent="0.25">
      <c r="A45" s="127">
        <v>5</v>
      </c>
      <c r="B45" s="129">
        <v>92.86</v>
      </c>
      <c r="C45" s="122">
        <f>B45-B44</f>
        <v>2.8400000000000034</v>
      </c>
      <c r="D45" s="123">
        <f t="shared" si="7"/>
        <v>1.7605633802816881E-4</v>
      </c>
      <c r="E45" s="123">
        <f>SQRT(2)*D45*$B$13/C45</f>
        <v>2.191736452299103E-5</v>
      </c>
      <c r="F45" s="123">
        <f t="shared" si="9"/>
        <v>1.2231018716782384E-15</v>
      </c>
      <c r="G45" s="123">
        <f t="shared" si="10"/>
        <v>7.0614767792797395E-9</v>
      </c>
      <c r="H45" s="123">
        <f t="shared" si="11"/>
        <v>4.6477871123773054E-17</v>
      </c>
      <c r="I45" s="122">
        <f t="shared" si="12"/>
        <v>5.8791013443837876E-12</v>
      </c>
      <c r="J45" s="123">
        <f t="shared" si="13"/>
        <v>3.2359585455965029E-11</v>
      </c>
      <c r="K45" s="122">
        <f t="shared" si="14"/>
        <v>1.6128807698267942E-16</v>
      </c>
      <c r="L45" s="126">
        <f t="shared" si="15"/>
        <v>0.13186806489092634</v>
      </c>
    </row>
    <row r="46" spans="1:12" x14ac:dyDescent="0.25">
      <c r="L46" s="126"/>
    </row>
    <row r="47" spans="1:12" x14ac:dyDescent="0.25">
      <c r="L47" s="126"/>
    </row>
    <row r="49" spans="1:12" x14ac:dyDescent="0.25">
      <c r="A49" s="122" t="s">
        <v>7</v>
      </c>
    </row>
    <row r="50" spans="1:12" x14ac:dyDescent="0.25">
      <c r="B50" s="122" t="s">
        <v>23</v>
      </c>
      <c r="C50" s="122" t="s">
        <v>27</v>
      </c>
      <c r="D50" s="122" t="s">
        <v>24</v>
      </c>
      <c r="E50" s="122" t="s">
        <v>29</v>
      </c>
      <c r="F50" s="122" t="s">
        <v>37</v>
      </c>
      <c r="G50" s="122" t="s">
        <v>39</v>
      </c>
      <c r="H50" s="122" t="s">
        <v>40</v>
      </c>
      <c r="I50" s="122" t="s">
        <v>41</v>
      </c>
      <c r="J50" s="122" t="s">
        <v>42</v>
      </c>
      <c r="K50" s="122" t="s">
        <v>2</v>
      </c>
      <c r="L50" s="122" t="s">
        <v>43</v>
      </c>
    </row>
    <row r="51" spans="1:12" x14ac:dyDescent="0.25">
      <c r="A51" s="127">
        <v>6</v>
      </c>
      <c r="B51" s="130">
        <v>95.28</v>
      </c>
      <c r="C51" s="122">
        <f>B51-B45</f>
        <v>2.4200000000000017</v>
      </c>
      <c r="D51" s="123">
        <f>$B$12/C51</f>
        <v>2.0661157024793374E-4</v>
      </c>
      <c r="E51" s="123">
        <f>SQRT(2)*D51*$B$13/C51</f>
        <v>3.0185215370643506E-5</v>
      </c>
      <c r="F51" s="123">
        <f>-(4*PI()/3)*$F$27^3*($B$9-$B$8)*($B$6/$E$18)*(1-ABS(D51)/$D$27)</f>
        <v>1.0266415423203282E-15</v>
      </c>
      <c r="G51" s="123">
        <f>F51*3/$F$27</f>
        <v>5.9272294316675619E-9</v>
      </c>
      <c r="H51" s="123">
        <f>F51/$E$18</f>
        <v>3.9012378608172468E-17</v>
      </c>
      <c r="I51" s="122">
        <f>-(4*PI()/3)*$F$27^3*($B$9-$B$8)*($B$6/$E$18)*(-1/$D$27)</f>
        <v>5.8791013443837876E-12</v>
      </c>
      <c r="J51" s="123">
        <f>-(4*PI()/3)*$F$27^3*($B$9-$B$8)*($B$6/$E$18)*(-ABS(D51)/$D$27^2)</f>
        <v>3.7975711857413521E-11</v>
      </c>
      <c r="K51" s="122">
        <f>SQRT(G51^2*$I$27^2+H51^2*$F$18^2+I51^2*E51^2+J51^2*$E$28^2)</f>
        <v>1.961422402904988E-16</v>
      </c>
      <c r="L51" s="126">
        <f>K51/F51</f>
        <v>0.19105231203404718</v>
      </c>
    </row>
    <row r="52" spans="1:12" x14ac:dyDescent="0.25">
      <c r="A52" s="127">
        <v>7</v>
      </c>
      <c r="B52" s="130">
        <v>97.47</v>
      </c>
      <c r="C52" s="122">
        <f>B52-B51</f>
        <v>2.1899999999999977</v>
      </c>
      <c r="D52" s="123">
        <f t="shared" ref="D52:D55" si="16">$B$12/C52</f>
        <v>2.2831050228310526E-4</v>
      </c>
      <c r="E52" s="123">
        <f t="shared" ref="E52:E54" si="17">SQRT(2)*D52*$B$13/C52</f>
        <v>3.6858425657646268E-5</v>
      </c>
      <c r="F52" s="123">
        <f t="shared" ref="F52:F55" si="18">-(4*PI()/3)*$F$27^3*($B$9-$B$8)*($B$6/$E$18)*(1-ABS(D52)/$D$27)</f>
        <v>1.1542117628199976E-15</v>
      </c>
      <c r="G52" s="123">
        <f t="shared" ref="G52:G55" si="19">F52*3/$F$27</f>
        <v>6.663745473908558E-9</v>
      </c>
      <c r="H52" s="123">
        <f t="shared" ref="H52:H55" si="20">F52/$E$18</f>
        <v>4.3860046987159908E-17</v>
      </c>
      <c r="I52" s="122">
        <f t="shared" ref="I52:I55" si="21">-(4*PI()/3)*$F$27^3*($B$9-$B$8)*($B$6/$E$18)*(-1/$D$27)</f>
        <v>5.8791013443837876E-12</v>
      </c>
      <c r="J52" s="123">
        <f t="shared" ref="J52:J55" si="22">-(4*PI()/3)*$F$27^3*($B$9-$B$8)*($B$6/$E$18)*(-ABS(D52)/$D$27^2)</f>
        <v>4.1964028627826888E-11</v>
      </c>
      <c r="K52" s="122">
        <f t="shared" ref="K52:K55" si="23">SQRT(G52^2*$I$27^2+H52^2*$F$18^2+I52^2*E52^2+J52^2*$E$28^2)</f>
        <v>2.3610815125418998E-16</v>
      </c>
      <c r="L52" s="126">
        <f t="shared" ref="L52:L55" si="24">K52/F52</f>
        <v>0.20456224659964037</v>
      </c>
    </row>
    <row r="53" spans="1:12" x14ac:dyDescent="0.25">
      <c r="A53" s="127">
        <v>8</v>
      </c>
      <c r="B53" s="130">
        <v>99.62</v>
      </c>
      <c r="C53" s="122">
        <f>B53-B52</f>
        <v>2.1500000000000057</v>
      </c>
      <c r="D53" s="123">
        <f t="shared" si="16"/>
        <v>2.3255813953488311E-4</v>
      </c>
      <c r="E53" s="123">
        <f t="shared" si="17"/>
        <v>3.8242659880289013E-5</v>
      </c>
      <c r="F53" s="123">
        <f t="shared" si="18"/>
        <v>1.1791840526973793E-15</v>
      </c>
      <c r="G53" s="123">
        <f t="shared" si="19"/>
        <v>6.8079209094776436E-9</v>
      </c>
      <c r="H53" s="123">
        <f t="shared" si="20"/>
        <v>4.4808994002500414E-17</v>
      </c>
      <c r="I53" s="122">
        <f t="shared" si="21"/>
        <v>5.8791013443837876E-12</v>
      </c>
      <c r="J53" s="123">
        <f t="shared" si="22"/>
        <v>4.2744754741832812E-11</v>
      </c>
      <c r="K53" s="122">
        <f t="shared" si="23"/>
        <v>2.4437538997225619E-16</v>
      </c>
      <c r="L53" s="126">
        <f t="shared" si="24"/>
        <v>0.2072410913404471</v>
      </c>
    </row>
    <row r="54" spans="1:12" x14ac:dyDescent="0.25">
      <c r="A54" s="127">
        <v>9</v>
      </c>
      <c r="B54" s="130">
        <v>101.9</v>
      </c>
      <c r="C54" s="122">
        <f>B54-B53</f>
        <v>2.2800000000000011</v>
      </c>
      <c r="D54" s="123">
        <f t="shared" si="16"/>
        <v>2.1929824561403498E-4</v>
      </c>
      <c r="E54" s="123">
        <f t="shared" si="17"/>
        <v>3.400598170526253E-5</v>
      </c>
      <c r="F54" s="123">
        <f t="shared" si="18"/>
        <v>1.1012277925209347E-15</v>
      </c>
      <c r="G54" s="123">
        <f t="shared" si="19"/>
        <v>6.3578469346253923E-9</v>
      </c>
      <c r="H54" s="123">
        <f t="shared" si="20"/>
        <v>4.1846656115795516E-17</v>
      </c>
      <c r="I54" s="122">
        <f t="shared" si="21"/>
        <v>5.8791013443837876E-12</v>
      </c>
      <c r="J54" s="123">
        <f t="shared" si="22"/>
        <v>4.0307553813570497E-11</v>
      </c>
      <c r="K54" s="122">
        <f t="shared" si="23"/>
        <v>2.1904940533794573E-16</v>
      </c>
      <c r="L54" s="126">
        <f t="shared" si="24"/>
        <v>0.19891380041952722</v>
      </c>
    </row>
    <row r="55" spans="1:12" x14ac:dyDescent="0.25">
      <c r="A55" s="127">
        <v>10</v>
      </c>
      <c r="B55" s="130">
        <v>104.05</v>
      </c>
      <c r="C55" s="122">
        <f>B55-B54</f>
        <v>2.1499999999999915</v>
      </c>
      <c r="D55" s="123">
        <f t="shared" si="16"/>
        <v>2.3255813953488466E-4</v>
      </c>
      <c r="E55" s="123">
        <f>SQRT(2)*D55*$B$13/C55</f>
        <v>3.8242659880289521E-5</v>
      </c>
      <c r="F55" s="123">
        <f t="shared" si="18"/>
        <v>1.1791840526973886E-15</v>
      </c>
      <c r="G55" s="123">
        <f t="shared" si="19"/>
        <v>6.8079209094776974E-9</v>
      </c>
      <c r="H55" s="123">
        <f t="shared" si="20"/>
        <v>4.4808994002500765E-17</v>
      </c>
      <c r="I55" s="122">
        <f t="shared" si="21"/>
        <v>5.8791013443837876E-12</v>
      </c>
      <c r="J55" s="123">
        <f t="shared" si="22"/>
        <v>4.2744754741833096E-11</v>
      </c>
      <c r="K55" s="122">
        <f t="shared" si="23"/>
        <v>2.4437538997225924E-16</v>
      </c>
      <c r="L55" s="126">
        <f t="shared" si="24"/>
        <v>0.20724109134044807</v>
      </c>
    </row>
    <row r="56" spans="1:12" x14ac:dyDescent="0.25">
      <c r="L56" s="126"/>
    </row>
    <row r="57" spans="1:12" x14ac:dyDescent="0.25">
      <c r="L57" s="126"/>
    </row>
    <row r="59" spans="1:12" x14ac:dyDescent="0.25">
      <c r="B59" s="122" t="s">
        <v>38</v>
      </c>
    </row>
    <row r="60" spans="1:12" x14ac:dyDescent="0.25">
      <c r="A60" s="123"/>
      <c r="B60" s="122" t="s">
        <v>44</v>
      </c>
      <c r="C60" s="122" t="s">
        <v>45</v>
      </c>
    </row>
    <row r="61" spans="1:12" x14ac:dyDescent="0.25">
      <c r="A61" s="122">
        <v>1</v>
      </c>
      <c r="B61" s="123">
        <f>F41</f>
        <v>1.1811402613976141E-15</v>
      </c>
      <c r="C61" s="122">
        <f>K41</f>
        <v>1.5112874738751899E-16</v>
      </c>
    </row>
    <row r="62" spans="1:12" x14ac:dyDescent="0.25">
      <c r="A62" s="122">
        <v>2</v>
      </c>
      <c r="B62" s="123">
        <f t="shared" ref="B62:B65" si="25">F42</f>
        <v>1.3829881157285288E-15</v>
      </c>
      <c r="C62" s="122">
        <f t="shared" ref="C62:C65" si="26">K42</f>
        <v>2.0384671769158471E-16</v>
      </c>
    </row>
    <row r="63" spans="1:12" x14ac:dyDescent="0.25">
      <c r="A63" s="122">
        <v>3</v>
      </c>
      <c r="B63" s="123">
        <f t="shared" si="25"/>
        <v>1.1037966910465188E-15</v>
      </c>
      <c r="C63" s="122">
        <f t="shared" si="26"/>
        <v>1.3349426980595811E-16</v>
      </c>
    </row>
    <row r="64" spans="1:12" x14ac:dyDescent="0.25">
      <c r="A64" s="122">
        <v>4</v>
      </c>
      <c r="B64" s="123">
        <f t="shared" si="25"/>
        <v>1.1302124950741287E-15</v>
      </c>
      <c r="C64" s="122">
        <f t="shared" si="26"/>
        <v>1.3935863487318653E-16</v>
      </c>
    </row>
    <row r="65" spans="1:3" x14ac:dyDescent="0.25">
      <c r="A65" s="122">
        <v>5</v>
      </c>
      <c r="B65" s="123">
        <f t="shared" si="25"/>
        <v>1.2231018716782384E-15</v>
      </c>
      <c r="C65" s="122">
        <f t="shared" si="26"/>
        <v>1.6128807698267942E-16</v>
      </c>
    </row>
    <row r="66" spans="1:3" x14ac:dyDescent="0.25">
      <c r="A66" s="122">
        <v>6</v>
      </c>
      <c r="B66" s="123">
        <f>F51</f>
        <v>1.0266415423203282E-15</v>
      </c>
      <c r="C66" s="122">
        <f>K51</f>
        <v>1.961422402904988E-16</v>
      </c>
    </row>
    <row r="67" spans="1:3" x14ac:dyDescent="0.25">
      <c r="A67" s="122">
        <v>7</v>
      </c>
      <c r="B67" s="123">
        <f t="shared" ref="B67:B70" si="27">F52</f>
        <v>1.1542117628199976E-15</v>
      </c>
      <c r="C67" s="122">
        <f t="shared" ref="C67:C70" si="28">K52</f>
        <v>2.3610815125418998E-16</v>
      </c>
    </row>
    <row r="68" spans="1:3" x14ac:dyDescent="0.25">
      <c r="A68" s="122">
        <v>8</v>
      </c>
      <c r="B68" s="123">
        <f t="shared" si="27"/>
        <v>1.1791840526973793E-15</v>
      </c>
      <c r="C68" s="122">
        <f t="shared" si="28"/>
        <v>2.4437538997225619E-16</v>
      </c>
    </row>
    <row r="69" spans="1:3" x14ac:dyDescent="0.25">
      <c r="A69" s="122">
        <v>9</v>
      </c>
      <c r="B69" s="123">
        <f t="shared" si="27"/>
        <v>1.1012277925209347E-15</v>
      </c>
      <c r="C69" s="122">
        <f t="shared" si="28"/>
        <v>2.1904940533794573E-16</v>
      </c>
    </row>
    <row r="70" spans="1:3" x14ac:dyDescent="0.25">
      <c r="A70" s="122">
        <v>10</v>
      </c>
      <c r="B70" s="123">
        <f t="shared" si="27"/>
        <v>1.1791840526973886E-15</v>
      </c>
      <c r="C70" s="122">
        <f t="shared" si="28"/>
        <v>2.4437538997225924E-16</v>
      </c>
    </row>
  </sheetData>
  <mergeCells count="2">
    <mergeCell ref="A1:C2"/>
    <mergeCell ref="A14:C15"/>
  </mergeCells>
  <conditionalFormatting sqref="C32:G36">
    <cfRule type="cellIs" dxfId="23" priority="5" operator="notBetween">
      <formula>-1.96</formula>
      <formula>1.96</formula>
    </cfRule>
  </conditionalFormatting>
  <conditionalFormatting sqref="L41:L47">
    <cfRule type="cellIs" priority="4" operator="greaterThan">
      <formula>0.04</formula>
    </cfRule>
  </conditionalFormatting>
  <conditionalFormatting sqref="L51:L57">
    <cfRule type="cellIs" priority="2" operator="greaterThan">
      <formula>0.04</formula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3" operator="greaterThan" id="{EEDCAF16-649A-47F0-A577-1E64D38C5198}">
            <xm:f>Dati!$B$14</xm:f>
            <x14:dxf>
              <fill>
                <patternFill>
                  <bgColor theme="5"/>
                </patternFill>
              </fill>
            </x14:dxf>
          </x14:cfRule>
          <xm:sqref>L41:L47</xm:sqref>
        </x14:conditionalFormatting>
        <x14:conditionalFormatting xmlns:xm="http://schemas.microsoft.com/office/excel/2006/main">
          <x14:cfRule type="cellIs" priority="1" operator="greaterThan" id="{6EA1898B-D0FB-4A40-8B95-25ACEE196CF3}">
            <xm:f>Dati!$B$14</xm:f>
            <x14:dxf>
              <fill>
                <patternFill>
                  <bgColor theme="5"/>
                </patternFill>
              </fill>
            </x14:dxf>
          </x14:cfRule>
          <xm:sqref>L51:L57</xm:sqref>
        </x14:conditionalFormatting>
      </x14:conditionalFormatting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topLeftCell="A7" workbookViewId="0">
      <selection activeCell="B51" sqref="B51:B55"/>
    </sheetView>
  </sheetViews>
  <sheetFormatPr defaultRowHeight="15" x14ac:dyDescent="0.25"/>
  <cols>
    <col min="1" max="1" width="13.140625" style="130" customWidth="1"/>
    <col min="2" max="2" width="9.140625" style="130"/>
    <col min="3" max="5" width="12" style="130" customWidth="1"/>
    <col min="6" max="7" width="12.140625" style="130" customWidth="1"/>
    <col min="8" max="9" width="12" style="130" customWidth="1"/>
    <col min="10" max="10" width="9.140625" style="130"/>
    <col min="11" max="11" width="12" style="130" customWidth="1"/>
    <col min="12" max="16384" width="9.140625" style="130"/>
  </cols>
  <sheetData>
    <row r="1" spans="1:5" x14ac:dyDescent="0.25">
      <c r="A1" s="187" t="str">
        <f>[1]Dati!A1</f>
        <v>Costanti varie</v>
      </c>
      <c r="B1" s="187"/>
      <c r="C1" s="187"/>
    </row>
    <row r="2" spans="1:5" x14ac:dyDescent="0.25">
      <c r="A2" s="187"/>
      <c r="B2" s="187"/>
      <c r="C2" s="187"/>
    </row>
    <row r="4" spans="1:5" x14ac:dyDescent="0.25">
      <c r="B4" s="130" t="s">
        <v>1</v>
      </c>
      <c r="C4" s="130" t="s">
        <v>2</v>
      </c>
    </row>
    <row r="5" spans="1:5" x14ac:dyDescent="0.25">
      <c r="A5" s="130" t="str">
        <f>[1]Dati!A5</f>
        <v>d</v>
      </c>
      <c r="B5" s="131">
        <v>7.6</v>
      </c>
      <c r="C5" s="130">
        <f>[1]Dati!C5</f>
        <v>1.0000000000000001E-5</v>
      </c>
    </row>
    <row r="6" spans="1:5" x14ac:dyDescent="0.25">
      <c r="A6" s="130" t="str">
        <f>[1]Dati!A6</f>
        <v>g</v>
      </c>
      <c r="B6" s="130">
        <f>[1]Dati!B6</f>
        <v>9.8059999999999992</v>
      </c>
      <c r="C6" s="130">
        <f>[1]Dati!C6</f>
        <v>0</v>
      </c>
    </row>
    <row r="7" spans="1:5" x14ac:dyDescent="0.25">
      <c r="A7" s="130" t="str">
        <f>[1]Dati!A7</f>
        <v>pressione</v>
      </c>
      <c r="B7" s="130">
        <f>[1]Dati!B7</f>
        <v>101325</v>
      </c>
      <c r="C7" s="130">
        <f>[1]Dati!C7</f>
        <v>0</v>
      </c>
    </row>
    <row r="8" spans="1:5" x14ac:dyDescent="0.25">
      <c r="A8" s="130" t="str">
        <f>[1]Dati!A8</f>
        <v>densità aria</v>
      </c>
      <c r="B8" s="130">
        <v>0</v>
      </c>
      <c r="C8" s="130">
        <f>[1]Dati!C8</f>
        <v>0</v>
      </c>
    </row>
    <row r="9" spans="1:5" x14ac:dyDescent="0.25">
      <c r="A9" s="130" t="str">
        <f>[1]Dati!A9</f>
        <v>densità olio</v>
      </c>
      <c r="B9" s="130">
        <v>858.7</v>
      </c>
      <c r="C9" s="130">
        <f>[1]Dati!C9</f>
        <v>0</v>
      </c>
    </row>
    <row r="10" spans="1:5" x14ac:dyDescent="0.25">
      <c r="A10" s="130" t="str">
        <f>[1]Dati!A10</f>
        <v>cst corr vis</v>
      </c>
      <c r="B10" s="130">
        <f>[1]Dati!B10</f>
        <v>8.2000000000000007E-3</v>
      </c>
      <c r="C10" s="130">
        <f>[1]Dati!C10</f>
        <v>0</v>
      </c>
    </row>
    <row r="11" spans="1:5" x14ac:dyDescent="0.25">
      <c r="A11" s="130" t="str">
        <f>[1]Dati!A11</f>
        <v>e</v>
      </c>
      <c r="B11" s="130">
        <f>[1]Dati!B11</f>
        <v>1.6021766200000001E-19</v>
      </c>
      <c r="C11" s="130">
        <f>[1]Dati!C11</f>
        <v>0</v>
      </c>
    </row>
    <row r="12" spans="1:5" x14ac:dyDescent="0.25">
      <c r="A12" s="130" t="str">
        <f>[1]Dati!A12</f>
        <v>deltax</v>
      </c>
      <c r="B12" s="130">
        <f>[1]Dati!B12</f>
        <v>5.0000000000000001E-4</v>
      </c>
      <c r="C12" s="130">
        <f>[1]Dati!C12</f>
        <v>0</v>
      </c>
    </row>
    <row r="13" spans="1:5" x14ac:dyDescent="0.25">
      <c r="A13" s="130" t="s">
        <v>30</v>
      </c>
      <c r="B13" s="130">
        <f>Dati!B13</f>
        <v>0.25</v>
      </c>
    </row>
    <row r="14" spans="1:5" x14ac:dyDescent="0.25">
      <c r="A14" s="187" t="s">
        <v>17</v>
      </c>
      <c r="B14" s="187"/>
      <c r="C14" s="187"/>
      <c r="D14" s="133"/>
    </row>
    <row r="15" spans="1:5" x14ac:dyDescent="0.25">
      <c r="A15" s="187"/>
      <c r="B15" s="187"/>
      <c r="C15" s="187"/>
      <c r="D15" s="133"/>
    </row>
    <row r="16" spans="1:5" x14ac:dyDescent="0.25">
      <c r="A16" s="130" t="s">
        <v>18</v>
      </c>
      <c r="B16" s="130">
        <v>200</v>
      </c>
      <c r="C16" s="130">
        <f>B16/100</f>
        <v>2</v>
      </c>
      <c r="D16" s="130" t="s">
        <v>19</v>
      </c>
      <c r="E16" s="130">
        <f>(1.8+(B18-15)*0.004765)*0.00001</f>
        <v>1.8262075000000001E-5</v>
      </c>
    </row>
    <row r="17" spans="1:10" x14ac:dyDescent="0.25">
      <c r="A17" s="130" t="s">
        <v>20</v>
      </c>
      <c r="E17" s="132"/>
    </row>
    <row r="18" spans="1:10" x14ac:dyDescent="0.25">
      <c r="A18" s="130" t="s">
        <v>21</v>
      </c>
      <c r="B18" s="130">
        <v>20.5</v>
      </c>
      <c r="C18" s="130">
        <v>0.5</v>
      </c>
      <c r="D18" s="130" t="s">
        <v>22</v>
      </c>
      <c r="E18" s="131">
        <f>B16/B5</f>
        <v>26.315789473684212</v>
      </c>
      <c r="F18" s="130">
        <f>SQRT((C16/B5)^2+(B16*C5/B5^2)^2)</f>
        <v>0.26315789701487097</v>
      </c>
      <c r="G18" s="131"/>
    </row>
    <row r="21" spans="1:10" x14ac:dyDescent="0.25">
      <c r="B21" s="130" t="s">
        <v>23</v>
      </c>
      <c r="C21" s="130" t="s">
        <v>27</v>
      </c>
      <c r="D21" s="130" t="s">
        <v>24</v>
      </c>
      <c r="E21" s="130" t="s">
        <v>29</v>
      </c>
      <c r="F21" s="130" t="s">
        <v>25</v>
      </c>
      <c r="G21" s="130" t="s">
        <v>26</v>
      </c>
      <c r="H21" s="130" t="s">
        <v>28</v>
      </c>
      <c r="I21" s="130" t="s">
        <v>31</v>
      </c>
      <c r="J21" s="130" t="s">
        <v>32</v>
      </c>
    </row>
    <row r="22" spans="1:10" x14ac:dyDescent="0.25">
      <c r="A22" s="130">
        <v>1</v>
      </c>
      <c r="B22" s="136">
        <v>10.53</v>
      </c>
      <c r="C22" s="130">
        <f>B22</f>
        <v>10.53</v>
      </c>
      <c r="D22" s="131">
        <f>B12/B22</f>
        <v>4.7483380816714154E-5</v>
      </c>
      <c r="E22" s="131">
        <f>SQRT(2)*D22*$B$13/C22</f>
        <v>1.5942934743191741E-6</v>
      </c>
      <c r="F22" s="5">
        <f>(($B$10/(2*$B$7))^2+9*$E$16*D22/(2*$B$6*($B$9-$B$8)))^(1/2)-$B$10/(2*$B$7)</f>
        <v>6.4148424467170903E-7</v>
      </c>
      <c r="G22" s="130">
        <f>(($B$10/(2*$B$7))^2+9*$E$16*D22/(2*$B$6*($B$9-$B$8)))^(-1/2)*(9*$E$16)/(4*$B$6*$B$9)</f>
        <v>7.1556314719302327E-3</v>
      </c>
      <c r="H22" s="130">
        <f>(($B$10/(2*$B$7))^2+9*$E$16*D22/(2*$B$6*($B$9-$B$8)))^(-1/2)*((9*D22)/(4*$B$6*$B$9))*0.00000004765</f>
        <v>8.8654825965816824E-10</v>
      </c>
      <c r="I22" s="130">
        <f>SQRT(G22^2*E22^2+H22^2*$C$18^2+$F$28^2)</f>
        <v>1.7696710769295426E-8</v>
      </c>
      <c r="J22" s="131">
        <f>I22/F22</f>
        <v>2.7587132367299268E-2</v>
      </c>
    </row>
    <row r="23" spans="1:10" x14ac:dyDescent="0.25">
      <c r="A23" s="130">
        <v>2</v>
      </c>
      <c r="B23" s="136">
        <v>21.88</v>
      </c>
      <c r="C23" s="130">
        <f>B23-B22</f>
        <v>11.35</v>
      </c>
      <c r="D23" s="131">
        <f>$B$12/(B23-B22)</f>
        <v>4.4052863436123351E-5</v>
      </c>
      <c r="E23" s="131">
        <f t="shared" ref="E23:E25" si="0">SQRT(2)*D23*$B$13/C23</f>
        <v>1.3722501527034246E-6</v>
      </c>
      <c r="F23" s="5">
        <f>(($B$10/(2*$B$7))^2+9*E16*D23/(2*$B$6*($B$9-$B$8)))^(1/2)-$B$10/(2*$B$7)</f>
        <v>6.164782611405348E-7</v>
      </c>
      <c r="G23" s="130">
        <f t="shared" ref="G23:G27" si="1">(($B$10/(2*$B$7))^2+9*$E$16*D23/(2*$B$6*($B$9-$B$8)))^(-1/2)*(9*$E$16)/(4*$B$6*$B$9)</f>
        <v>7.4280049408188397E-3</v>
      </c>
      <c r="H23" s="130">
        <f t="shared" ref="H23:H27" si="2">(($B$10/(2*$B$7))^2+9*$E$16*D23/(2*$B$6*($B$9-$B$8)))^(-1/2)*((9*D23)/(4*$B$6*$B$9))*0.00000004765</f>
        <v>8.5380581768360659E-10</v>
      </c>
      <c r="I23" s="130">
        <f t="shared" ref="I23:I27" si="3">SQRT(G23^2*E23^2+H23^2*$C$18^2+$F$28^2)</f>
        <v>1.6938469006545143E-8</v>
      </c>
      <c r="J23" s="131">
        <f t="shared" ref="J23:J27" si="4">I23/F23</f>
        <v>2.7476182169355982E-2</v>
      </c>
    </row>
    <row r="24" spans="1:10" x14ac:dyDescent="0.25">
      <c r="A24" s="130">
        <v>3</v>
      </c>
      <c r="B24" s="136">
        <v>32.61</v>
      </c>
      <c r="C24" s="130">
        <f t="shared" ref="C24:C26" si="5">B24-B23</f>
        <v>10.73</v>
      </c>
      <c r="D24" s="131">
        <f>$B$12/(B24-B23)</f>
        <v>4.6598322460391427E-5</v>
      </c>
      <c r="E24" s="131">
        <f t="shared" si="0"/>
        <v>1.5354142499375671E-6</v>
      </c>
      <c r="F24" s="5">
        <f>(($B$10/(2*$B$7))^2+9*E16*D24/(2*$B$6*($B$9-$B$8)))^(1/2)-$B$10/(2*$B$7)</f>
        <v>6.3512140940554901E-7</v>
      </c>
      <c r="G24" s="130">
        <f t="shared" si="1"/>
        <v>7.223025044217595E-3</v>
      </c>
      <c r="H24" s="130">
        <f t="shared" si="2"/>
        <v>8.7821770032399805E-10</v>
      </c>
      <c r="I24" s="130">
        <f t="shared" si="3"/>
        <v>1.7493397255469853E-8</v>
      </c>
      <c r="J24" s="131">
        <f t="shared" si="4"/>
        <v>2.7543390911421248E-2</v>
      </c>
    </row>
    <row r="25" spans="1:10" x14ac:dyDescent="0.25">
      <c r="A25" s="130">
        <v>4</v>
      </c>
      <c r="B25" s="136">
        <v>44.02</v>
      </c>
      <c r="C25" s="130">
        <f t="shared" si="5"/>
        <v>11.410000000000004</v>
      </c>
      <c r="D25" s="131">
        <f>$B$12/(B25-B24)</f>
        <v>4.3821209465381231E-5</v>
      </c>
      <c r="E25" s="131">
        <f t="shared" si="0"/>
        <v>1.3578560198408055E-6</v>
      </c>
      <c r="F25" s="5">
        <f>(($B$10/(2*$B$7))^2+9*E16*D25/(2*$B$6*($B$9-$B$8)))^(1/2)-$B$10/(2*$B$7)</f>
        <v>6.1475527483143906E-7</v>
      </c>
      <c r="G25" s="130">
        <f t="shared" si="1"/>
        <v>7.4475378730166743E-3</v>
      </c>
      <c r="H25" s="130">
        <f t="shared" si="2"/>
        <v>8.5154943134744223E-10</v>
      </c>
      <c r="I25" s="130">
        <f t="shared" si="3"/>
        <v>1.6890182123533283E-8</v>
      </c>
      <c r="J25" s="131">
        <f t="shared" si="4"/>
        <v>2.7474643675346154E-2</v>
      </c>
    </row>
    <row r="26" spans="1:10" x14ac:dyDescent="0.25">
      <c r="A26" s="130">
        <v>5</v>
      </c>
      <c r="B26" s="136">
        <v>55.55</v>
      </c>
      <c r="C26" s="130">
        <f t="shared" si="5"/>
        <v>11.529999999999994</v>
      </c>
      <c r="D26" s="131">
        <f>$B$12/(B26-B25)</f>
        <v>4.3365134431916759E-5</v>
      </c>
      <c r="E26" s="131">
        <f>SQRT(2)*D26*$B$13/C26</f>
        <v>1.3297389689451258E-6</v>
      </c>
      <c r="F26" s="5">
        <f>(($B$10/(2*$B$7))^2+9*E16*D26/(2*$B$6*($B$9-$B$8)))^(1/2)-$B$10/(2*$B$7)</f>
        <v>6.1134978877984159E-7</v>
      </c>
      <c r="G26" s="130">
        <f t="shared" si="1"/>
        <v>7.4864485135483034E-3</v>
      </c>
      <c r="H26" s="130">
        <f t="shared" si="2"/>
        <v>8.4708954605620165E-10</v>
      </c>
      <c r="I26" s="130">
        <f t="shared" si="3"/>
        <v>1.6796203362109687E-8</v>
      </c>
      <c r="J26" s="131">
        <f t="shared" si="4"/>
        <v>2.7473966083528513E-2</v>
      </c>
    </row>
    <row r="27" spans="1:10" x14ac:dyDescent="0.25">
      <c r="A27" s="7" t="s">
        <v>34</v>
      </c>
      <c r="B27" s="7"/>
      <c r="C27" s="7">
        <f>AVERAGE(C22:C26)</f>
        <v>11.11</v>
      </c>
      <c r="D27" s="7">
        <f>AVERAGE(D22:D26)</f>
        <v>4.5064182122105382E-5</v>
      </c>
      <c r="E27" s="8">
        <f>SQRT(2)*D27*$B$13/C27</f>
        <v>1.4340769022127048E-6</v>
      </c>
      <c r="F27" s="9">
        <f>AVERAGE(F22:F26)</f>
        <v>6.2383779576581472E-7</v>
      </c>
      <c r="G27" s="7">
        <f t="shared" si="1"/>
        <v>7.3444959806191635E-3</v>
      </c>
      <c r="H27" s="7">
        <f t="shared" si="2"/>
        <v>8.6358735345190886E-10</v>
      </c>
      <c r="I27" s="7">
        <f t="shared" si="3"/>
        <v>1.7145031563451633E-8</v>
      </c>
      <c r="J27" s="8">
        <f t="shared" si="4"/>
        <v>2.748315616626695E-2</v>
      </c>
    </row>
    <row r="28" spans="1:10" x14ac:dyDescent="0.25">
      <c r="A28" s="130" t="s">
        <v>35</v>
      </c>
      <c r="C28" s="6">
        <f>_xlfn.STDEV.S(C22:C26)</f>
        <v>0.44855322984011536</v>
      </c>
      <c r="D28" s="131">
        <f>_xlfn.STDEV.S(D22:D26)</f>
        <v>1.8480136948267468E-6</v>
      </c>
      <c r="E28" s="8">
        <f>SQRT(2)*D28*$B$13/C28</f>
        <v>1.45661978156236E-6</v>
      </c>
      <c r="F28" s="131">
        <f>_xlfn.STDEV.S(F22:F26)</f>
        <v>1.3521486148579565E-8</v>
      </c>
    </row>
    <row r="30" spans="1:10" x14ac:dyDescent="0.25">
      <c r="A30" s="130" t="s">
        <v>31</v>
      </c>
      <c r="C30" s="130">
        <f t="array" ref="C30:G31">TRANSPOSE(A32:B36)</f>
        <v>1.7696710769295426E-8</v>
      </c>
      <c r="D30" s="130">
        <v>1.6938469006545143E-8</v>
      </c>
      <c r="E30" s="130">
        <v>1.7493397255469853E-8</v>
      </c>
      <c r="F30" s="130">
        <v>1.6890182123533283E-8</v>
      </c>
      <c r="G30" s="130">
        <v>1.6796203362109687E-8</v>
      </c>
    </row>
    <row r="31" spans="1:10" x14ac:dyDescent="0.25">
      <c r="B31" s="130" t="s">
        <v>25</v>
      </c>
      <c r="C31" s="130">
        <v>6.4148424467170903E-7</v>
      </c>
      <c r="D31" s="130">
        <v>6.164782611405348E-7</v>
      </c>
      <c r="E31" s="130">
        <v>6.3512140940554901E-7</v>
      </c>
      <c r="F31" s="130">
        <v>6.1475527483143906E-7</v>
      </c>
      <c r="G31" s="130">
        <v>6.1134978877984159E-7</v>
      </c>
    </row>
    <row r="32" spans="1:10" x14ac:dyDescent="0.25">
      <c r="A32" s="130">
        <f>I22</f>
        <v>1.7696710769295426E-8</v>
      </c>
      <c r="B32" s="5">
        <f>F22</f>
        <v>6.4148424467170903E-7</v>
      </c>
      <c r="C32" s="130">
        <f t="shared" ref="C32:G36" si="6">(C$31-$B32)/SQRT(C$30^2+$A32^2)</f>
        <v>0</v>
      </c>
      <c r="D32" s="130">
        <f t="shared" si="6"/>
        <v>-1.020792440356683</v>
      </c>
      <c r="E32" s="130">
        <f t="shared" si="6"/>
        <v>-0.25570418086903712</v>
      </c>
      <c r="F32" s="130">
        <f t="shared" si="6"/>
        <v>-1.0926161697184635</v>
      </c>
      <c r="G32" s="130">
        <f t="shared" si="6"/>
        <v>-1.2350954241308503</v>
      </c>
    </row>
    <row r="33" spans="1:12" x14ac:dyDescent="0.25">
      <c r="A33" s="130">
        <f>I23</f>
        <v>1.6938469006545143E-8</v>
      </c>
      <c r="B33" s="5">
        <f>F23</f>
        <v>6.164782611405348E-7</v>
      </c>
      <c r="C33" s="130">
        <f t="shared" si="6"/>
        <v>1.020792440356683</v>
      </c>
      <c r="D33" s="130">
        <f t="shared" si="6"/>
        <v>0</v>
      </c>
      <c r="E33" s="130">
        <f t="shared" si="6"/>
        <v>0.76562709108982951</v>
      </c>
      <c r="F33" s="130">
        <f t="shared" si="6"/>
        <v>-7.2029715711448825E-2</v>
      </c>
      <c r="G33" s="130">
        <f t="shared" si="6"/>
        <v>-0.21499217760983552</v>
      </c>
    </row>
    <row r="34" spans="1:12" x14ac:dyDescent="0.25">
      <c r="A34" s="130">
        <f>I24</f>
        <v>1.7493397255469853E-8</v>
      </c>
      <c r="B34" s="5">
        <f>F24</f>
        <v>6.3512140940554901E-7</v>
      </c>
      <c r="C34" s="130">
        <f t="shared" si="6"/>
        <v>0.25570418086903712</v>
      </c>
      <c r="D34" s="130">
        <f t="shared" si="6"/>
        <v>-0.76562709108982951</v>
      </c>
      <c r="E34" s="130">
        <f t="shared" si="6"/>
        <v>0</v>
      </c>
      <c r="F34" s="130">
        <f t="shared" si="6"/>
        <v>-0.83754027073256254</v>
      </c>
      <c r="G34" s="130">
        <f t="shared" si="6"/>
        <v>-0.98021559821478643</v>
      </c>
    </row>
    <row r="35" spans="1:12" x14ac:dyDescent="0.25">
      <c r="A35" s="130">
        <f>I25</f>
        <v>1.6890182123533283E-8</v>
      </c>
      <c r="B35" s="5">
        <f>F25</f>
        <v>6.1475527483143906E-7</v>
      </c>
      <c r="C35" s="130">
        <f t="shared" si="6"/>
        <v>1.0926161697184635</v>
      </c>
      <c r="D35" s="130">
        <f t="shared" si="6"/>
        <v>7.2029715711448825E-2</v>
      </c>
      <c r="E35" s="130">
        <f t="shared" si="6"/>
        <v>0.83754027073256254</v>
      </c>
      <c r="F35" s="130">
        <f t="shared" si="6"/>
        <v>0</v>
      </c>
      <c r="G35" s="130">
        <f t="shared" si="6"/>
        <v>-0.14296772269782945</v>
      </c>
    </row>
    <row r="36" spans="1:12" x14ac:dyDescent="0.25">
      <c r="A36" s="130">
        <f>I26</f>
        <v>1.6796203362109687E-8</v>
      </c>
      <c r="B36" s="5">
        <f>F26</f>
        <v>6.1134978877984159E-7</v>
      </c>
      <c r="C36" s="130">
        <f t="shared" si="6"/>
        <v>1.2350954241308503</v>
      </c>
      <c r="D36" s="130">
        <f t="shared" si="6"/>
        <v>0.21499217760983552</v>
      </c>
      <c r="E36" s="130">
        <f t="shared" si="6"/>
        <v>0.98021559821478643</v>
      </c>
      <c r="F36" s="130">
        <f t="shared" si="6"/>
        <v>0.14296772269782945</v>
      </c>
      <c r="G36" s="130">
        <f t="shared" si="6"/>
        <v>0</v>
      </c>
    </row>
    <row r="39" spans="1:12" x14ac:dyDescent="0.25">
      <c r="A39" s="130" t="s">
        <v>7</v>
      </c>
    </row>
    <row r="40" spans="1:12" x14ac:dyDescent="0.25">
      <c r="B40" s="130" t="s">
        <v>36</v>
      </c>
      <c r="C40" s="130" t="s">
        <v>27</v>
      </c>
      <c r="D40" s="130" t="s">
        <v>24</v>
      </c>
      <c r="E40" s="130" t="s">
        <v>29</v>
      </c>
      <c r="F40" s="130" t="s">
        <v>37</v>
      </c>
      <c r="G40" s="130" t="s">
        <v>39</v>
      </c>
      <c r="H40" s="130" t="s">
        <v>40</v>
      </c>
      <c r="I40" s="130" t="s">
        <v>41</v>
      </c>
      <c r="J40" s="130" t="s">
        <v>42</v>
      </c>
      <c r="K40" s="130" t="s">
        <v>2</v>
      </c>
      <c r="L40" s="130" t="s">
        <v>43</v>
      </c>
    </row>
    <row r="41" spans="1:12" x14ac:dyDescent="0.25">
      <c r="A41" s="135">
        <v>1</v>
      </c>
      <c r="B41" s="137">
        <v>58.58</v>
      </c>
      <c r="C41" s="130">
        <f>B41-B26</f>
        <v>3.0300000000000011</v>
      </c>
      <c r="D41" s="131">
        <f>$B$12/C41</f>
        <v>1.6501650165016496E-4</v>
      </c>
      <c r="E41" s="131">
        <f>SQRT(2)*D41*$B$13/C41</f>
        <v>1.9254832891833782E-5</v>
      </c>
      <c r="F41" s="131">
        <f>(4*PI()/3)*$F$27^3*($B$9-$B$8)*($B$6/$E$18)*(1+ABS(D41)/$D$27)</f>
        <v>1.5169638680961209E-15</v>
      </c>
      <c r="G41" s="131">
        <f>F41*3/$F$27</f>
        <v>7.2949917994336187E-9</v>
      </c>
      <c r="H41" s="131">
        <f>F41/$E$18</f>
        <v>5.7644626987652595E-17</v>
      </c>
      <c r="I41" s="130">
        <f>(4*PI()/3)*$F$27^3*($B$9-$B$8)*($B$6/$E$18)*(1/$D$27)</f>
        <v>7.2208631505623109E-12</v>
      </c>
      <c r="J41" s="131">
        <f>(4*PI()/3)*$F$27^3*($B$9-$B$8)*($B$6/$E$18)*(ABS(D41)/$D$27^2)</f>
        <v>2.6441433526336721E-11</v>
      </c>
      <c r="K41" s="130">
        <f>SQRT(G41^2*$I$27^2+H41^2*$F$18^2+I41^2*E41^2+J41^2*$E$28^2)</f>
        <v>1.9154087171837765E-16</v>
      </c>
      <c r="L41" s="134">
        <f>K41/F41</f>
        <v>0.12626594195600238</v>
      </c>
    </row>
    <row r="42" spans="1:12" x14ac:dyDescent="0.25">
      <c r="A42" s="135">
        <v>2</v>
      </c>
      <c r="B42" s="137">
        <v>61.63</v>
      </c>
      <c r="C42" s="130">
        <f>B42-B41</f>
        <v>3.0500000000000043</v>
      </c>
      <c r="D42" s="131">
        <f t="shared" ref="D42:D45" si="7">$B$12/C42</f>
        <v>1.6393442622950798E-4</v>
      </c>
      <c r="E42" s="131">
        <f t="shared" ref="E42:E44" si="8">SQRT(2)*D42*$B$13/C42</f>
        <v>1.9003138435542747E-5</v>
      </c>
      <c r="F42" s="131">
        <f t="shared" ref="F42:F45" si="9">(4*PI()/3)*$F$27^3*($B$9-$B$8)*($B$6/$E$18)*(1+ABS(D42)/$D$27)</f>
        <v>1.5091503495649695E-15</v>
      </c>
      <c r="G42" s="131">
        <f t="shared" ref="G42:G45" si="10">F42*3/$F$27</f>
        <v>7.2574170392114049E-9</v>
      </c>
      <c r="H42" s="131">
        <f t="shared" ref="H42:H45" si="11">F42/$E$18</f>
        <v>5.7347713283468834E-17</v>
      </c>
      <c r="I42" s="130">
        <f t="shared" ref="I42:I45" si="12">(4*PI()/3)*$F$27^3*($B$9-$B$8)*($B$6/$E$18)*(1/$D$27)</f>
        <v>7.2208631505623109E-12</v>
      </c>
      <c r="J42" s="131">
        <f t="shared" ref="J42:J45" si="13">(4*PI()/3)*$F$27^3*($B$9-$B$8)*($B$6/$E$18)*(ABS(D42)/$D$27^2)</f>
        <v>2.6268047076983664E-11</v>
      </c>
      <c r="K42" s="130">
        <f t="shared" ref="K42:K45" si="14">SQRT(G42^2*$I$27^2+H42^2*$F$18^2+I42^2*E42^2+J42^2*$E$28^2)</f>
        <v>1.8974544854911685E-16</v>
      </c>
      <c r="L42" s="134">
        <f t="shared" ref="L42:L45" si="15">K42/F42</f>
        <v>0.12572998349953218</v>
      </c>
    </row>
    <row r="43" spans="1:12" x14ac:dyDescent="0.25">
      <c r="A43" s="135">
        <v>3</v>
      </c>
      <c r="B43" s="137">
        <v>64.489999999999995</v>
      </c>
      <c r="C43" s="130">
        <f>B43-B42</f>
        <v>2.8599999999999923</v>
      </c>
      <c r="D43" s="131">
        <f t="shared" si="7"/>
        <v>1.7482517482517529E-4</v>
      </c>
      <c r="E43" s="131">
        <f t="shared" si="8"/>
        <v>2.1611899762413546E-5</v>
      </c>
      <c r="F43" s="131">
        <f t="shared" si="9"/>
        <v>1.5877909547814618E-15</v>
      </c>
      <c r="G43" s="131">
        <f t="shared" si="10"/>
        <v>7.6355951766226894E-9</v>
      </c>
      <c r="H43" s="131">
        <f t="shared" si="11"/>
        <v>6.0336056281695549E-17</v>
      </c>
      <c r="I43" s="130">
        <f t="shared" si="12"/>
        <v>7.2208631505623109E-12</v>
      </c>
      <c r="J43" s="131">
        <f t="shared" si="13"/>
        <v>2.8013127127552621E-11</v>
      </c>
      <c r="K43" s="130">
        <f t="shared" si="14"/>
        <v>2.0834791673824396E-16</v>
      </c>
      <c r="L43" s="134">
        <f t="shared" si="15"/>
        <v>0.13121873261138478</v>
      </c>
    </row>
    <row r="44" spans="1:12" x14ac:dyDescent="0.25">
      <c r="A44" s="135">
        <v>4</v>
      </c>
      <c r="B44" s="137">
        <v>67.489999999999995</v>
      </c>
      <c r="C44" s="130">
        <f>B44-B43</f>
        <v>3</v>
      </c>
      <c r="D44" s="131">
        <f t="shared" si="7"/>
        <v>1.6666666666666666E-4</v>
      </c>
      <c r="E44" s="131">
        <f t="shared" si="8"/>
        <v>1.9641855032959654E-5</v>
      </c>
      <c r="F44" s="131">
        <f t="shared" si="9"/>
        <v>1.5288794838561249E-15</v>
      </c>
      <c r="G44" s="131">
        <f t="shared" si="10"/>
        <v>7.3522933087724839E-9</v>
      </c>
      <c r="H44" s="131">
        <f t="shared" si="11"/>
        <v>5.8097420386532741E-17</v>
      </c>
      <c r="I44" s="130">
        <f t="shared" si="12"/>
        <v>7.2208631505623109E-12</v>
      </c>
      <c r="J44" s="131">
        <f t="shared" si="13"/>
        <v>2.6705847861600096E-11</v>
      </c>
      <c r="K44" s="130">
        <f t="shared" si="14"/>
        <v>1.9430128964935085E-16</v>
      </c>
      <c r="L44" s="134">
        <f t="shared" si="15"/>
        <v>0.12708738111867787</v>
      </c>
    </row>
    <row r="45" spans="1:12" x14ac:dyDescent="0.25">
      <c r="A45" s="135">
        <v>5</v>
      </c>
      <c r="B45" s="137">
        <v>70.19</v>
      </c>
      <c r="C45" s="130">
        <f>B45-B44</f>
        <v>2.7000000000000028</v>
      </c>
      <c r="D45" s="131">
        <f t="shared" si="7"/>
        <v>1.8518518518518499E-4</v>
      </c>
      <c r="E45" s="131">
        <f>SQRT(2)*D45*$B$13/C45</f>
        <v>2.4249203744394587E-5</v>
      </c>
      <c r="F45" s="131">
        <f t="shared" si="9"/>
        <v>1.6625991718294996E-15</v>
      </c>
      <c r="G45" s="131">
        <f t="shared" si="10"/>
        <v>7.9953435802419558E-9</v>
      </c>
      <c r="H45" s="131">
        <f t="shared" si="11"/>
        <v>6.317876852952098E-17</v>
      </c>
      <c r="I45" s="130">
        <f t="shared" si="12"/>
        <v>7.2208631505623109E-12</v>
      </c>
      <c r="J45" s="131">
        <f t="shared" si="13"/>
        <v>2.9673164290666741E-11</v>
      </c>
      <c r="K45" s="130">
        <f t="shared" si="14"/>
        <v>2.271469223533841E-16</v>
      </c>
      <c r="L45" s="134">
        <f t="shared" si="15"/>
        <v>0.13662157794980434</v>
      </c>
    </row>
    <row r="46" spans="1:12" x14ac:dyDescent="0.25">
      <c r="L46" s="134"/>
    </row>
    <row r="47" spans="1:12" x14ac:dyDescent="0.25">
      <c r="L47" s="134"/>
    </row>
    <row r="49" spans="1:12" x14ac:dyDescent="0.25">
      <c r="A49" s="130" t="s">
        <v>7</v>
      </c>
    </row>
    <row r="50" spans="1:12" x14ac:dyDescent="0.25">
      <c r="B50" s="130" t="s">
        <v>23</v>
      </c>
      <c r="C50" s="130" t="s">
        <v>27</v>
      </c>
      <c r="D50" s="130" t="s">
        <v>24</v>
      </c>
      <c r="E50" s="130" t="s">
        <v>29</v>
      </c>
      <c r="F50" s="130" t="s">
        <v>37</v>
      </c>
      <c r="G50" s="130" t="s">
        <v>39</v>
      </c>
      <c r="H50" s="130" t="s">
        <v>40</v>
      </c>
      <c r="I50" s="130" t="s">
        <v>41</v>
      </c>
      <c r="J50" s="130" t="s">
        <v>42</v>
      </c>
      <c r="K50" s="130" t="s">
        <v>2</v>
      </c>
      <c r="L50" s="130" t="s">
        <v>43</v>
      </c>
    </row>
    <row r="51" spans="1:12" x14ac:dyDescent="0.25">
      <c r="A51" s="135">
        <v>6</v>
      </c>
      <c r="B51" s="138">
        <v>72.62</v>
      </c>
      <c r="C51" s="130">
        <f>B51-B45</f>
        <v>2.4300000000000068</v>
      </c>
      <c r="D51" s="131">
        <f>$B$12/C51</f>
        <v>2.0576131687242741E-4</v>
      </c>
      <c r="E51" s="131">
        <f>SQRT(2)*D51*$B$13/C51</f>
        <v>2.9937288573326545E-5</v>
      </c>
      <c r="F51" s="131">
        <f>-(4*PI()/3)*$F$27^3*($B$9-$B$8)*($B$6/$E$18)*(1-ABS(D51)/$D$27)</f>
        <v>1.1603720187195466E-15</v>
      </c>
      <c r="G51" s="131">
        <f>F51*3/$F$27</f>
        <v>5.5801621507803479E-9</v>
      </c>
      <c r="H51" s="131">
        <f>F51/$E$18</f>
        <v>4.4094136711342768E-17</v>
      </c>
      <c r="I51" s="130">
        <f>-(4*PI()/3)*$F$27^3*($B$9-$B$8)*($B$6/$E$18)*(-1/$D$27)</f>
        <v>7.2208631505623109E-12</v>
      </c>
      <c r="J51" s="131">
        <f>-(4*PI()/3)*$F$27^3*($B$9-$B$8)*($B$6/$E$18)*(-ABS(D51)/$D$27^2)</f>
        <v>3.2970182545185215E-11</v>
      </c>
      <c r="K51" s="130">
        <f>SQRT(G51^2*$I$27^2+H51^2*$F$18^2+I51^2*E51^2+J51^2*$E$28^2)</f>
        <v>2.4150566198008218E-16</v>
      </c>
      <c r="L51" s="134">
        <f>K51/F51</f>
        <v>0.20812778840236093</v>
      </c>
    </row>
    <row r="52" spans="1:12" x14ac:dyDescent="0.25">
      <c r="A52" s="135">
        <v>7</v>
      </c>
      <c r="B52" s="138">
        <v>74.53</v>
      </c>
      <c r="C52" s="130">
        <f>B52-B51</f>
        <v>1.9099999999999966</v>
      </c>
      <c r="D52" s="131">
        <f t="shared" ref="D52:D55" si="16">$B$12/C52</f>
        <v>2.6178010471204235E-4</v>
      </c>
      <c r="E52" s="131">
        <f t="shared" ref="E52:E54" si="17">SQRT(2)*D52*$B$13/C52</f>
        <v>4.8457195607751304E-5</v>
      </c>
      <c r="F52" s="131">
        <f t="shared" ref="F52:F55" si="18">-(4*PI()/3)*$F$27^3*($B$9-$B$8)*($B$6/$E$18)*(1-ABS(D52)/$D$27)</f>
        <v>1.5648760195697902E-15</v>
      </c>
      <c r="G52" s="131">
        <f t="shared" ref="G52:G55" si="19">F52*3/$F$27</f>
        <v>7.5253985740737451E-9</v>
      </c>
      <c r="H52" s="131">
        <f t="shared" ref="H52:H55" si="20">F52/$E$18</f>
        <v>5.9465288743652017E-17</v>
      </c>
      <c r="I52" s="130">
        <f t="shared" ref="I52:I55" si="21">-(4*PI()/3)*$F$27^3*($B$9-$B$8)*($B$6/$E$18)*(-1/$D$27)</f>
        <v>7.2208631505623109E-12</v>
      </c>
      <c r="J52" s="131">
        <f t="shared" ref="J52:J55" si="22">-(4*PI()/3)*$F$27^3*($B$9-$B$8)*($B$6/$E$18)*(-ABS(D52)/$D$27^2)</f>
        <v>4.1946357897801272E-11</v>
      </c>
      <c r="K52" s="130">
        <f t="shared" ref="K52:K55" si="23">SQRT(G52^2*$I$27^2+H52^2*$F$18^2+I52^2*E52^2+J52^2*$E$28^2)</f>
        <v>3.7822879333670306E-16</v>
      </c>
      <c r="L52" s="134">
        <f t="shared" ref="L52:L55" si="24">K52/F52</f>
        <v>0.2416988877116823</v>
      </c>
    </row>
    <row r="53" spans="1:12" x14ac:dyDescent="0.25">
      <c r="A53" s="135">
        <v>8</v>
      </c>
      <c r="B53" s="138">
        <v>76.319999999999993</v>
      </c>
      <c r="C53" s="130">
        <f>B53-B52</f>
        <v>1.789999999999992</v>
      </c>
      <c r="D53" s="131">
        <f t="shared" si="16"/>
        <v>2.7932960893854871E-4</v>
      </c>
      <c r="E53" s="131">
        <f t="shared" si="17"/>
        <v>5.5172028119171826E-5</v>
      </c>
      <c r="F53" s="131">
        <f t="shared" si="18"/>
        <v>1.6915985879496075E-15</v>
      </c>
      <c r="G53" s="131">
        <f t="shared" si="19"/>
        <v>8.1348001007522683E-9</v>
      </c>
      <c r="H53" s="131">
        <f t="shared" si="20"/>
        <v>6.4280746342085084E-17</v>
      </c>
      <c r="I53" s="130">
        <f t="shared" si="21"/>
        <v>7.2208631505623109E-12</v>
      </c>
      <c r="J53" s="131">
        <f t="shared" si="22"/>
        <v>4.4758404237318795E-11</v>
      </c>
      <c r="K53" s="130">
        <f t="shared" si="23"/>
        <v>4.2743802320394246E-16</v>
      </c>
      <c r="L53" s="134">
        <f t="shared" si="24"/>
        <v>0.25268289193953608</v>
      </c>
    </row>
    <row r="54" spans="1:12" x14ac:dyDescent="0.25">
      <c r="A54" s="135">
        <v>9</v>
      </c>
      <c r="B54" s="138">
        <v>78.33</v>
      </c>
      <c r="C54" s="130">
        <f>B54-B53</f>
        <v>2.0100000000000051</v>
      </c>
      <c r="D54" s="131">
        <f t="shared" si="16"/>
        <v>2.4875621890547202E-4</v>
      </c>
      <c r="E54" s="131">
        <f t="shared" si="17"/>
        <v>4.3755524689150272E-5</v>
      </c>
      <c r="F54" s="131">
        <f t="shared" si="18"/>
        <v>1.4708323224719949E-15</v>
      </c>
      <c r="G54" s="131">
        <f t="shared" si="19"/>
        <v>7.0731478556846075E-9</v>
      </c>
      <c r="H54" s="131">
        <f t="shared" si="20"/>
        <v>5.5891628253935799E-17</v>
      </c>
      <c r="I54" s="130">
        <f t="shared" si="21"/>
        <v>7.2208631505623109E-12</v>
      </c>
      <c r="J54" s="131">
        <f t="shared" si="22"/>
        <v>3.9859474420298552E-11</v>
      </c>
      <c r="K54" s="130">
        <f t="shared" si="23"/>
        <v>3.4368538551737138E-16</v>
      </c>
      <c r="L54" s="134">
        <f t="shared" si="24"/>
        <v>0.23366727822498967</v>
      </c>
    </row>
    <row r="55" spans="1:12" x14ac:dyDescent="0.25">
      <c r="A55" s="135">
        <v>10</v>
      </c>
      <c r="B55" s="138">
        <v>80.239999999999995</v>
      </c>
      <c r="C55" s="130">
        <f>B55-B54</f>
        <v>1.9099999999999966</v>
      </c>
      <c r="D55" s="131">
        <f t="shared" si="16"/>
        <v>2.6178010471204235E-4</v>
      </c>
      <c r="E55" s="131">
        <f>SQRT(2)*D55*$B$13/C55</f>
        <v>4.8457195607751304E-5</v>
      </c>
      <c r="F55" s="131">
        <f t="shared" si="18"/>
        <v>1.5648760195697902E-15</v>
      </c>
      <c r="G55" s="131">
        <f t="shared" si="19"/>
        <v>7.5253985740737451E-9</v>
      </c>
      <c r="H55" s="131">
        <f t="shared" si="20"/>
        <v>5.9465288743652017E-17</v>
      </c>
      <c r="I55" s="130">
        <f t="shared" si="21"/>
        <v>7.2208631505623109E-12</v>
      </c>
      <c r="J55" s="131">
        <f t="shared" si="22"/>
        <v>4.1946357897801272E-11</v>
      </c>
      <c r="K55" s="130">
        <f t="shared" si="23"/>
        <v>3.7822879333670306E-16</v>
      </c>
      <c r="L55" s="134">
        <f t="shared" si="24"/>
        <v>0.2416988877116823</v>
      </c>
    </row>
    <row r="56" spans="1:12" x14ac:dyDescent="0.25">
      <c r="L56" s="134"/>
    </row>
    <row r="57" spans="1:12" x14ac:dyDescent="0.25">
      <c r="L57" s="134"/>
    </row>
    <row r="59" spans="1:12" x14ac:dyDescent="0.25">
      <c r="B59" s="130" t="s">
        <v>38</v>
      </c>
    </row>
    <row r="60" spans="1:12" x14ac:dyDescent="0.25">
      <c r="A60" s="131"/>
      <c r="B60" s="130" t="s">
        <v>44</v>
      </c>
      <c r="C60" s="130" t="s">
        <v>45</v>
      </c>
    </row>
    <row r="61" spans="1:12" x14ac:dyDescent="0.25">
      <c r="A61" s="130">
        <v>1</v>
      </c>
      <c r="B61" s="131">
        <f>F41</f>
        <v>1.5169638680961209E-15</v>
      </c>
      <c r="C61" s="130">
        <f>K41</f>
        <v>1.9154087171837765E-16</v>
      </c>
    </row>
    <row r="62" spans="1:12" x14ac:dyDescent="0.25">
      <c r="A62" s="130">
        <v>2</v>
      </c>
      <c r="B62" s="131">
        <f t="shared" ref="B62:B65" si="25">F42</f>
        <v>1.5091503495649695E-15</v>
      </c>
      <c r="C62" s="130">
        <f t="shared" ref="C62:C65" si="26">K42</f>
        <v>1.8974544854911685E-16</v>
      </c>
    </row>
    <row r="63" spans="1:12" x14ac:dyDescent="0.25">
      <c r="A63" s="130">
        <v>3</v>
      </c>
      <c r="B63" s="131">
        <f t="shared" si="25"/>
        <v>1.5877909547814618E-15</v>
      </c>
      <c r="C63" s="130">
        <f t="shared" si="26"/>
        <v>2.0834791673824396E-16</v>
      </c>
    </row>
    <row r="64" spans="1:12" x14ac:dyDescent="0.25">
      <c r="A64" s="130">
        <v>4</v>
      </c>
      <c r="B64" s="131">
        <f t="shared" si="25"/>
        <v>1.5288794838561249E-15</v>
      </c>
      <c r="C64" s="130">
        <f t="shared" si="26"/>
        <v>1.9430128964935085E-16</v>
      </c>
    </row>
    <row r="65" spans="1:3" x14ac:dyDescent="0.25">
      <c r="A65" s="130">
        <v>5</v>
      </c>
      <c r="B65" s="131">
        <f t="shared" si="25"/>
        <v>1.6625991718294996E-15</v>
      </c>
      <c r="C65" s="130">
        <f t="shared" si="26"/>
        <v>2.271469223533841E-16</v>
      </c>
    </row>
    <row r="66" spans="1:3" x14ac:dyDescent="0.25">
      <c r="A66" s="130">
        <v>6</v>
      </c>
      <c r="B66" s="131">
        <f>F51</f>
        <v>1.1603720187195466E-15</v>
      </c>
      <c r="C66" s="130">
        <f>K51</f>
        <v>2.4150566198008218E-16</v>
      </c>
    </row>
    <row r="67" spans="1:3" x14ac:dyDescent="0.25">
      <c r="A67" s="130">
        <v>7</v>
      </c>
      <c r="B67" s="131">
        <f t="shared" ref="B67:B70" si="27">F52</f>
        <v>1.5648760195697902E-15</v>
      </c>
      <c r="C67" s="130">
        <f t="shared" ref="C67:C70" si="28">K52</f>
        <v>3.7822879333670306E-16</v>
      </c>
    </row>
    <row r="68" spans="1:3" x14ac:dyDescent="0.25">
      <c r="A68" s="130">
        <v>8</v>
      </c>
      <c r="B68" s="131">
        <f t="shared" si="27"/>
        <v>1.6915985879496075E-15</v>
      </c>
      <c r="C68" s="130">
        <f t="shared" si="28"/>
        <v>4.2743802320394246E-16</v>
      </c>
    </row>
    <row r="69" spans="1:3" x14ac:dyDescent="0.25">
      <c r="A69" s="130">
        <v>9</v>
      </c>
      <c r="B69" s="131">
        <f t="shared" si="27"/>
        <v>1.4708323224719949E-15</v>
      </c>
      <c r="C69" s="130">
        <f t="shared" si="28"/>
        <v>3.4368538551737138E-16</v>
      </c>
    </row>
    <row r="70" spans="1:3" x14ac:dyDescent="0.25">
      <c r="A70" s="130">
        <v>10</v>
      </c>
      <c r="B70" s="131">
        <f t="shared" si="27"/>
        <v>1.5648760195697902E-15</v>
      </c>
      <c r="C70" s="130">
        <f t="shared" si="28"/>
        <v>3.7822879333670306E-16</v>
      </c>
    </row>
  </sheetData>
  <mergeCells count="2">
    <mergeCell ref="A1:C2"/>
    <mergeCell ref="A14:C15"/>
  </mergeCells>
  <conditionalFormatting sqref="C32:G36">
    <cfRule type="cellIs" dxfId="20" priority="5" operator="notBetween">
      <formula>-1.96</formula>
      <formula>1.96</formula>
    </cfRule>
  </conditionalFormatting>
  <conditionalFormatting sqref="L41:L47">
    <cfRule type="cellIs" priority="4" operator="greaterThan">
      <formula>0.04</formula>
    </cfRule>
  </conditionalFormatting>
  <conditionalFormatting sqref="L51:L57">
    <cfRule type="cellIs" priority="2" operator="greaterThan">
      <formula>0.04</formula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3" operator="greaterThan" id="{F2E2A78A-280E-44CA-ADEF-4CBCCEF8DDBA}">
            <xm:f>Dati!$B$14</xm:f>
            <x14:dxf>
              <fill>
                <patternFill>
                  <bgColor theme="5"/>
                </patternFill>
              </fill>
            </x14:dxf>
          </x14:cfRule>
          <xm:sqref>L41:L47</xm:sqref>
        </x14:conditionalFormatting>
        <x14:conditionalFormatting xmlns:xm="http://schemas.microsoft.com/office/excel/2006/main">
          <x14:cfRule type="cellIs" priority="1" operator="greaterThan" id="{9DC7A4AB-9BE9-4B78-81D9-91F26B57EB88}">
            <xm:f>Dati!$B$14</xm:f>
            <x14:dxf>
              <fill>
                <patternFill>
                  <bgColor theme="5"/>
                </patternFill>
              </fill>
            </x14:dxf>
          </x14:cfRule>
          <xm:sqref>L51:L57</xm:sqref>
        </x14:conditionalFormatting>
      </x14:conditionalFormatting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topLeftCell="A4" workbookViewId="0">
      <selection activeCell="B51" sqref="B51:B55"/>
    </sheetView>
  </sheetViews>
  <sheetFormatPr defaultRowHeight="15" x14ac:dyDescent="0.25"/>
  <cols>
    <col min="1" max="1" width="13.140625" style="138" customWidth="1"/>
    <col min="2" max="2" width="9.140625" style="138"/>
    <col min="3" max="5" width="12" style="138" customWidth="1"/>
    <col min="6" max="7" width="12.140625" style="138" customWidth="1"/>
    <col min="8" max="9" width="12" style="138" customWidth="1"/>
    <col min="10" max="10" width="9.140625" style="138"/>
    <col min="11" max="11" width="12" style="138" customWidth="1"/>
    <col min="12" max="16384" width="9.140625" style="138"/>
  </cols>
  <sheetData>
    <row r="1" spans="1:5" x14ac:dyDescent="0.25">
      <c r="A1" s="187" t="str">
        <f>[1]Dati!A1</f>
        <v>Costanti varie</v>
      </c>
      <c r="B1" s="187"/>
      <c r="C1" s="187"/>
    </row>
    <row r="2" spans="1:5" x14ac:dyDescent="0.25">
      <c r="A2" s="187"/>
      <c r="B2" s="187"/>
      <c r="C2" s="187"/>
    </row>
    <row r="4" spans="1:5" x14ac:dyDescent="0.25">
      <c r="B4" s="138" t="s">
        <v>1</v>
      </c>
      <c r="C4" s="138" t="s">
        <v>2</v>
      </c>
    </row>
    <row r="5" spans="1:5" x14ac:dyDescent="0.25">
      <c r="A5" s="138" t="str">
        <f>[1]Dati!A5</f>
        <v>d</v>
      </c>
      <c r="B5" s="139">
        <v>7.6</v>
      </c>
      <c r="C5" s="138">
        <f>[1]Dati!C5</f>
        <v>1.0000000000000001E-5</v>
      </c>
    </row>
    <row r="6" spans="1:5" x14ac:dyDescent="0.25">
      <c r="A6" s="138" t="str">
        <f>[1]Dati!A6</f>
        <v>g</v>
      </c>
      <c r="B6" s="138">
        <f>[1]Dati!B6</f>
        <v>9.8059999999999992</v>
      </c>
      <c r="C6" s="138">
        <f>[1]Dati!C6</f>
        <v>0</v>
      </c>
    </row>
    <row r="7" spans="1:5" x14ac:dyDescent="0.25">
      <c r="A7" s="138" t="str">
        <f>[1]Dati!A7</f>
        <v>pressione</v>
      </c>
      <c r="B7" s="138">
        <f>[1]Dati!B7</f>
        <v>101325</v>
      </c>
      <c r="C7" s="138">
        <f>[1]Dati!C7</f>
        <v>0</v>
      </c>
    </row>
    <row r="8" spans="1:5" x14ac:dyDescent="0.25">
      <c r="A8" s="138" t="str">
        <f>[1]Dati!A8</f>
        <v>densità aria</v>
      </c>
      <c r="B8" s="138">
        <v>0</v>
      </c>
      <c r="C8" s="138">
        <f>[1]Dati!C8</f>
        <v>0</v>
      </c>
    </row>
    <row r="9" spans="1:5" x14ac:dyDescent="0.25">
      <c r="A9" s="138" t="str">
        <f>[1]Dati!A9</f>
        <v>densità olio</v>
      </c>
      <c r="B9" s="138">
        <v>858.7</v>
      </c>
      <c r="C9" s="138">
        <f>[1]Dati!C9</f>
        <v>0</v>
      </c>
    </row>
    <row r="10" spans="1:5" x14ac:dyDescent="0.25">
      <c r="A10" s="138" t="str">
        <f>[1]Dati!A10</f>
        <v>cst corr vis</v>
      </c>
      <c r="B10" s="138">
        <f>[1]Dati!B10</f>
        <v>8.2000000000000007E-3</v>
      </c>
      <c r="C10" s="138">
        <f>[1]Dati!C10</f>
        <v>0</v>
      </c>
    </row>
    <row r="11" spans="1:5" x14ac:dyDescent="0.25">
      <c r="A11" s="138" t="str">
        <f>[1]Dati!A11</f>
        <v>e</v>
      </c>
      <c r="B11" s="138">
        <f>[1]Dati!B11</f>
        <v>1.6021766200000001E-19</v>
      </c>
      <c r="C11" s="138">
        <f>[1]Dati!C11</f>
        <v>0</v>
      </c>
    </row>
    <row r="12" spans="1:5" x14ac:dyDescent="0.25">
      <c r="A12" s="138" t="str">
        <f>[1]Dati!A12</f>
        <v>deltax</v>
      </c>
      <c r="B12" s="138">
        <f>[1]Dati!B12</f>
        <v>5.0000000000000001E-4</v>
      </c>
      <c r="C12" s="138">
        <f>[1]Dati!C12</f>
        <v>0</v>
      </c>
    </row>
    <row r="13" spans="1:5" x14ac:dyDescent="0.25">
      <c r="A13" s="138" t="s">
        <v>30</v>
      </c>
      <c r="B13" s="138">
        <f>Dati!B13</f>
        <v>0.25</v>
      </c>
    </row>
    <row r="14" spans="1:5" x14ac:dyDescent="0.25">
      <c r="A14" s="187" t="s">
        <v>17</v>
      </c>
      <c r="B14" s="187"/>
      <c r="C14" s="187"/>
      <c r="D14" s="141"/>
    </row>
    <row r="15" spans="1:5" x14ac:dyDescent="0.25">
      <c r="A15" s="187"/>
      <c r="B15" s="187"/>
      <c r="C15" s="187"/>
      <c r="D15" s="141"/>
    </row>
    <row r="16" spans="1:5" x14ac:dyDescent="0.25">
      <c r="A16" s="138" t="s">
        <v>18</v>
      </c>
      <c r="B16" s="138">
        <v>200</v>
      </c>
      <c r="C16" s="138">
        <f>B16/100</f>
        <v>2</v>
      </c>
      <c r="D16" s="138" t="s">
        <v>19</v>
      </c>
      <c r="E16" s="138">
        <f>(1.8+(B18-15)*0.004765)*0.00001</f>
        <v>1.8262075000000001E-5</v>
      </c>
    </row>
    <row r="17" spans="1:10" x14ac:dyDescent="0.25">
      <c r="A17" s="138" t="s">
        <v>20</v>
      </c>
      <c r="E17" s="140"/>
    </row>
    <row r="18" spans="1:10" x14ac:dyDescent="0.25">
      <c r="A18" s="138" t="s">
        <v>21</v>
      </c>
      <c r="B18" s="138">
        <v>20.5</v>
      </c>
      <c r="C18" s="138">
        <v>0.5</v>
      </c>
      <c r="D18" s="138" t="s">
        <v>22</v>
      </c>
      <c r="E18" s="139">
        <f>B16/B5</f>
        <v>26.315789473684212</v>
      </c>
      <c r="F18" s="138">
        <f>SQRT((C16/B5)^2+(B16*C5/B5^2)^2)</f>
        <v>0.26315789701487097</v>
      </c>
      <c r="G18" s="139"/>
    </row>
    <row r="21" spans="1:10" x14ac:dyDescent="0.25">
      <c r="B21" s="138" t="s">
        <v>23</v>
      </c>
      <c r="C21" s="138" t="s">
        <v>27</v>
      </c>
      <c r="D21" s="138" t="s">
        <v>24</v>
      </c>
      <c r="E21" s="138" t="s">
        <v>29</v>
      </c>
      <c r="F21" s="138" t="s">
        <v>25</v>
      </c>
      <c r="G21" s="138" t="s">
        <v>26</v>
      </c>
      <c r="H21" s="138" t="s">
        <v>28</v>
      </c>
      <c r="I21" s="138" t="s">
        <v>31</v>
      </c>
      <c r="J21" s="138" t="s">
        <v>32</v>
      </c>
    </row>
    <row r="22" spans="1:10" x14ac:dyDescent="0.25">
      <c r="A22" s="138">
        <v>1</v>
      </c>
      <c r="B22" s="144">
        <v>17.03</v>
      </c>
      <c r="C22" s="138">
        <f>B22</f>
        <v>17.03</v>
      </c>
      <c r="D22" s="139">
        <f>B12/B22</f>
        <v>2.9359953024075161E-5</v>
      </c>
      <c r="E22" s="139">
        <f>SQRT(2)*D22*$B$13/C22</f>
        <v>6.0953088310751702E-7</v>
      </c>
      <c r="F22" s="5">
        <f>(($B$10/(2*$B$7))^2+9*$E$16*D22/(2*$B$6*($B$9-$B$8)))^(1/2)-$B$10/(2*$B$7)</f>
        <v>4.9635726798033922E-7</v>
      </c>
      <c r="G22" s="138">
        <f>(($B$10/(2*$B$7))^2+9*$E$16*D22/(2*$B$6*($B$9-$B$8)))^(-1/2)*(9*$E$16)/(4*$B$6*$B$9)</f>
        <v>9.0901216017763836E-3</v>
      </c>
      <c r="H22" s="138">
        <f>(($B$10/(2*$B$7))^2+9*$E$16*D22/(2*$B$6*($B$9-$B$8)))^(-1/2)*((9*D22)/(4*$B$6*$B$9))*0.00000004765</f>
        <v>6.9636643886402574E-10</v>
      </c>
      <c r="I22" s="138">
        <f>SQRT(G22^2*E22^2+H22^2*$C$18^2+$F$28^2)</f>
        <v>2.3941006962076222E-8</v>
      </c>
      <c r="J22" s="139">
        <f>I22/F22</f>
        <v>4.823341674735894E-2</v>
      </c>
    </row>
    <row r="23" spans="1:10" x14ac:dyDescent="0.25">
      <c r="A23" s="138">
        <v>2</v>
      </c>
      <c r="B23" s="144">
        <v>31.23</v>
      </c>
      <c r="C23" s="138">
        <f>B23-B22</f>
        <v>14.2</v>
      </c>
      <c r="D23" s="139">
        <f>$B$12/(B23-B22)</f>
        <v>3.5211267605633805E-5</v>
      </c>
      <c r="E23" s="139">
        <f t="shared" ref="E23:E25" si="0">SQRT(2)*D23*$B$13/C23</f>
        <v>8.7669458091964351E-7</v>
      </c>
      <c r="F23" s="5">
        <f>(($B$10/(2*$B$7))^2+9*E16*D23/(2*$B$6*($B$9-$B$8)))^(1/2)-$B$10/(2*$B$7)</f>
        <v>5.471440486498903E-7</v>
      </c>
      <c r="G23" s="138">
        <f t="shared" ref="G23:G27" si="1">(($B$10/(2*$B$7))^2+9*$E$16*D23/(2*$B$6*($B$9-$B$8)))^(-1/2)*(9*$E$16)/(4*$B$6*$B$9)</f>
        <v>8.3044650270130953E-3</v>
      </c>
      <c r="H23" s="138">
        <f t="shared" ref="H23:H27" si="2">(($B$10/(2*$B$7))^2+9*$E$16*D23/(2*$B$6*($B$9-$B$8)))^(-1/2)*((9*D23)/(4*$B$6*$B$9))*0.00000004765</f>
        <v>7.6296761345454747E-10</v>
      </c>
      <c r="I23" s="138">
        <f t="shared" ref="I23:I27" si="3">SQRT(G23^2*E23^2+H23^2*$C$18^2+$F$28^2)</f>
        <v>2.4402910249389149E-8</v>
      </c>
      <c r="J23" s="139">
        <f t="shared" ref="J23:J27" si="4">I23/F23</f>
        <v>4.4600522128687585E-2</v>
      </c>
    </row>
    <row r="24" spans="1:10" x14ac:dyDescent="0.25">
      <c r="A24" s="138">
        <v>3</v>
      </c>
      <c r="B24" s="144">
        <v>47.66</v>
      </c>
      <c r="C24" s="138">
        <f t="shared" ref="C24:C26" si="5">B24-B23</f>
        <v>16.429999999999996</v>
      </c>
      <c r="D24" s="139">
        <f>$B$12/(B24-B23)</f>
        <v>3.0432136335970792E-5</v>
      </c>
      <c r="E24" s="139">
        <f t="shared" si="0"/>
        <v>6.5486214148382497E-7</v>
      </c>
      <c r="F24" s="5">
        <f>(($B$10/(2*$B$7))^2+9*E16*D24/(2*$B$6*($B$9-$B$8)))^(1/2)-$B$10/(2*$B$7)</f>
        <v>5.0601664096213108E-7</v>
      </c>
      <c r="G24" s="138">
        <f t="shared" si="1"/>
        <v>8.9294482093657864E-3</v>
      </c>
      <c r="H24" s="138">
        <f t="shared" si="2"/>
        <v>7.0903854737954653E-10</v>
      </c>
      <c r="I24" s="138">
        <f t="shared" si="3"/>
        <v>2.4013969491060177E-8</v>
      </c>
      <c r="J24" s="139">
        <f t="shared" si="4"/>
        <v>4.745687700191132E-2</v>
      </c>
    </row>
    <row r="25" spans="1:10" x14ac:dyDescent="0.25">
      <c r="A25" s="138">
        <v>4</v>
      </c>
      <c r="B25" s="144">
        <v>62.87</v>
      </c>
      <c r="C25" s="138">
        <f t="shared" si="5"/>
        <v>15.21</v>
      </c>
      <c r="D25" s="139">
        <f>$B$12/(B25-B24)</f>
        <v>3.2873109796186718E-5</v>
      </c>
      <c r="E25" s="139">
        <f t="shared" si="0"/>
        <v>7.641288249695449E-7</v>
      </c>
      <c r="F25" s="5">
        <f>(($B$10/(2*$B$7))^2+9*E16*D25/(2*$B$6*($B$9-$B$8)))^(1/2)-$B$10/(2*$B$7)</f>
        <v>5.2739502456862092E-7</v>
      </c>
      <c r="G25" s="138">
        <f t="shared" si="1"/>
        <v>8.5932781212674503E-3</v>
      </c>
      <c r="H25" s="138">
        <f t="shared" si="2"/>
        <v>7.3707628994975397E-10</v>
      </c>
      <c r="I25" s="138">
        <f t="shared" si="3"/>
        <v>2.4199259749147104E-8</v>
      </c>
      <c r="J25" s="139">
        <f t="shared" si="4"/>
        <v>4.5884505203553486E-2</v>
      </c>
    </row>
    <row r="26" spans="1:10" x14ac:dyDescent="0.25">
      <c r="A26" s="138">
        <v>5</v>
      </c>
      <c r="B26" s="144">
        <v>80.23</v>
      </c>
      <c r="C26" s="138">
        <f t="shared" si="5"/>
        <v>17.360000000000007</v>
      </c>
      <c r="D26" s="139">
        <f>$B$12/(B26-B25)</f>
        <v>2.880184331797234E-5</v>
      </c>
      <c r="E26" s="139">
        <f>SQRT(2)*D26*$B$13/C26</f>
        <v>5.8657772813394833E-7</v>
      </c>
      <c r="F26" s="5">
        <f>(($B$10/(2*$B$7))^2+9*E16*D26/(2*$B$6*($B$9-$B$8)))^(1/2)-$B$10/(2*$B$7)</f>
        <v>4.9125978080470561E-7</v>
      </c>
      <c r="G26" s="138">
        <f t="shared" si="1"/>
        <v>9.1772660792127821E-3</v>
      </c>
      <c r="H26" s="138">
        <f t="shared" si="2"/>
        <v>6.8967802742812617E-10</v>
      </c>
      <c r="I26" s="138">
        <f t="shared" si="3"/>
        <v>2.3904992299381164E-8</v>
      </c>
      <c r="J26" s="139">
        <f t="shared" si="4"/>
        <v>4.8660593098469637E-2</v>
      </c>
    </row>
    <row r="27" spans="1:10" x14ac:dyDescent="0.25">
      <c r="A27" s="7" t="s">
        <v>34</v>
      </c>
      <c r="B27" s="7"/>
      <c r="C27" s="7">
        <f>AVERAGE(C22:C26)</f>
        <v>16.045999999999999</v>
      </c>
      <c r="D27" s="7">
        <f>AVERAGE(D22:D26)</f>
        <v>3.1335662015967765E-5</v>
      </c>
      <c r="E27" s="8">
        <f>SQRT(2)*D27*$B$13/C27</f>
        <v>6.9044182676244949E-7</v>
      </c>
      <c r="F27" s="9">
        <f>AVERAGE(F22:F26)</f>
        <v>5.1363455259313738E-7</v>
      </c>
      <c r="G27" s="7">
        <f t="shared" si="1"/>
        <v>8.8004673523357866E-3</v>
      </c>
      <c r="H27" s="7">
        <f t="shared" si="2"/>
        <v>7.1954406172406843E-10</v>
      </c>
      <c r="I27" s="7">
        <f t="shared" si="3"/>
        <v>2.4070747604604448E-8</v>
      </c>
      <c r="J27" s="8">
        <f t="shared" si="4"/>
        <v>4.6863567653462522E-2</v>
      </c>
    </row>
    <row r="28" spans="1:10" x14ac:dyDescent="0.25">
      <c r="A28" s="138" t="s">
        <v>35</v>
      </c>
      <c r="C28" s="6">
        <f>_xlfn.STDEV.S(C22:C26)</f>
        <v>1.318040211829671</v>
      </c>
      <c r="D28" s="139">
        <f>_xlfn.STDEV.S(D22:D26)</f>
        <v>2.6703972659943947E-6</v>
      </c>
      <c r="E28" s="8">
        <f>SQRT(2)*D28*$B$13/C28</f>
        <v>7.1631199044580837E-7</v>
      </c>
      <c r="F28" s="139">
        <f>_xlfn.STDEV.S(F22:F26)</f>
        <v>2.3288433120110627E-8</v>
      </c>
    </row>
    <row r="30" spans="1:10" x14ac:dyDescent="0.25">
      <c r="A30" s="138" t="s">
        <v>31</v>
      </c>
      <c r="C30" s="138">
        <f t="array" ref="C30:G31">TRANSPOSE(A32:B36)</f>
        <v>2.3941006962076222E-8</v>
      </c>
      <c r="D30" s="138">
        <v>2.4402910249389149E-8</v>
      </c>
      <c r="E30" s="138">
        <v>2.4013969491060177E-8</v>
      </c>
      <c r="F30" s="138">
        <v>2.4199259749147104E-8</v>
      </c>
      <c r="G30" s="138">
        <v>2.3904992299381164E-8</v>
      </c>
    </row>
    <row r="31" spans="1:10" x14ac:dyDescent="0.25">
      <c r="B31" s="138" t="s">
        <v>25</v>
      </c>
      <c r="C31" s="138">
        <v>4.9635726798033922E-7</v>
      </c>
      <c r="D31" s="138">
        <v>5.471440486498903E-7</v>
      </c>
      <c r="E31" s="138">
        <v>5.0601664096213108E-7</v>
      </c>
      <c r="F31" s="138">
        <v>5.2739502456862092E-7</v>
      </c>
      <c r="G31" s="138">
        <v>4.9125978080470561E-7</v>
      </c>
    </row>
    <row r="32" spans="1:10" x14ac:dyDescent="0.25">
      <c r="A32" s="138">
        <f>I22</f>
        <v>2.3941006962076222E-8</v>
      </c>
      <c r="B32" s="5">
        <f>F22</f>
        <v>4.9635726798033922E-7</v>
      </c>
      <c r="C32" s="138">
        <f t="shared" ref="C32:G36" si="6">(C$31-$B32)/SQRT(C$30^2+$A32^2)</f>
        <v>0</v>
      </c>
      <c r="D32" s="138">
        <f t="shared" si="6"/>
        <v>1.4856072912232356</v>
      </c>
      <c r="E32" s="138">
        <f t="shared" si="6"/>
        <v>0.28485887125797388</v>
      </c>
      <c r="F32" s="138">
        <f t="shared" si="6"/>
        <v>0.91178108714314465</v>
      </c>
      <c r="G32" s="138">
        <f t="shared" si="6"/>
        <v>-0.15066951399975298</v>
      </c>
    </row>
    <row r="33" spans="1:12" x14ac:dyDescent="0.25">
      <c r="A33" s="138">
        <f>I23</f>
        <v>2.4402910249389149E-8</v>
      </c>
      <c r="B33" s="5">
        <f>F23</f>
        <v>5.471440486498903E-7</v>
      </c>
      <c r="C33" s="138">
        <f t="shared" si="6"/>
        <v>-1.4856072912232356</v>
      </c>
      <c r="D33" s="138">
        <f t="shared" si="6"/>
        <v>0</v>
      </c>
      <c r="E33" s="138">
        <f t="shared" si="6"/>
        <v>-1.2012558732067657</v>
      </c>
      <c r="F33" s="138">
        <f t="shared" si="6"/>
        <v>-0.5746470274984381</v>
      </c>
      <c r="G33" s="138">
        <f t="shared" si="6"/>
        <v>-1.6359247155277548</v>
      </c>
    </row>
    <row r="34" spans="1:12" x14ac:dyDescent="0.25">
      <c r="A34" s="138">
        <f>I24</f>
        <v>2.4013969491060177E-8</v>
      </c>
      <c r="B34" s="5">
        <f>F24</f>
        <v>5.0601664096213108E-7</v>
      </c>
      <c r="C34" s="138">
        <f t="shared" si="6"/>
        <v>-0.28485887125797388</v>
      </c>
      <c r="D34" s="138">
        <f t="shared" si="6"/>
        <v>1.2012558732067657</v>
      </c>
      <c r="E34" s="138">
        <f t="shared" si="6"/>
        <v>0</v>
      </c>
      <c r="F34" s="138">
        <f t="shared" si="6"/>
        <v>0.62707636981984538</v>
      </c>
      <c r="G34" s="138">
        <f t="shared" si="6"/>
        <v>-0.43551231131144486</v>
      </c>
    </row>
    <row r="35" spans="1:12" x14ac:dyDescent="0.25">
      <c r="A35" s="138">
        <f>I25</f>
        <v>2.4199259749147104E-8</v>
      </c>
      <c r="B35" s="5">
        <f>F25</f>
        <v>5.2739502456862092E-7</v>
      </c>
      <c r="C35" s="138">
        <f t="shared" si="6"/>
        <v>-0.91178108714314465</v>
      </c>
      <c r="D35" s="138">
        <f t="shared" si="6"/>
        <v>0.5746470274984381</v>
      </c>
      <c r="E35" s="138">
        <f t="shared" si="6"/>
        <v>-0.62707636981984538</v>
      </c>
      <c r="F35" s="138">
        <f t="shared" si="6"/>
        <v>0</v>
      </c>
      <c r="G35" s="138">
        <f t="shared" si="6"/>
        <v>-1.0623176433426593</v>
      </c>
    </row>
    <row r="36" spans="1:12" x14ac:dyDescent="0.25">
      <c r="A36" s="138">
        <f>I26</f>
        <v>2.3904992299381164E-8</v>
      </c>
      <c r="B36" s="5">
        <f>F26</f>
        <v>4.9125978080470561E-7</v>
      </c>
      <c r="C36" s="138">
        <f t="shared" si="6"/>
        <v>0.15066951399975298</v>
      </c>
      <c r="D36" s="138">
        <f t="shared" si="6"/>
        <v>1.6359247155277548</v>
      </c>
      <c r="E36" s="138">
        <f t="shared" si="6"/>
        <v>0.43551231131144486</v>
      </c>
      <c r="F36" s="138">
        <f t="shared" si="6"/>
        <v>1.0623176433426593</v>
      </c>
      <c r="G36" s="138">
        <f t="shared" si="6"/>
        <v>0</v>
      </c>
    </row>
    <row r="39" spans="1:12" x14ac:dyDescent="0.25">
      <c r="A39" s="138" t="s">
        <v>7</v>
      </c>
    </row>
    <row r="40" spans="1:12" x14ac:dyDescent="0.25">
      <c r="B40" s="138" t="s">
        <v>36</v>
      </c>
      <c r="C40" s="138" t="s">
        <v>27</v>
      </c>
      <c r="D40" s="138" t="s">
        <v>24</v>
      </c>
      <c r="E40" s="138" t="s">
        <v>29</v>
      </c>
      <c r="F40" s="138" t="s">
        <v>37</v>
      </c>
      <c r="G40" s="138" t="s">
        <v>39</v>
      </c>
      <c r="H40" s="138" t="s">
        <v>40</v>
      </c>
      <c r="I40" s="138" t="s">
        <v>41</v>
      </c>
      <c r="J40" s="138" t="s">
        <v>42</v>
      </c>
      <c r="K40" s="138" t="s">
        <v>2</v>
      </c>
      <c r="L40" s="138" t="s">
        <v>43</v>
      </c>
    </row>
    <row r="41" spans="1:12" x14ac:dyDescent="0.25">
      <c r="A41" s="143">
        <v>1</v>
      </c>
      <c r="B41" s="145">
        <v>89.19</v>
      </c>
      <c r="C41" s="138">
        <f>B41-B26</f>
        <v>8.9599999999999937</v>
      </c>
      <c r="D41" s="139">
        <f>$B$12/C41</f>
        <v>5.5803571428571467E-5</v>
      </c>
      <c r="E41" s="139">
        <f>SQRT(2)*D41*$B$13/C41</f>
        <v>2.2019577997528346E-6</v>
      </c>
      <c r="F41" s="139">
        <f>(4*PI()/3)*$F$27^3*($B$9-$B$8)*($B$6/$E$18)*(1+ABS(D41)/$D$27)</f>
        <v>5.0506016084439576E-16</v>
      </c>
      <c r="G41" s="139">
        <f>F41*3/$F$27</f>
        <v>2.949919305240742E-9</v>
      </c>
      <c r="H41" s="139">
        <f>F41/$E$18</f>
        <v>1.9192286112087036E-17</v>
      </c>
      <c r="I41" s="138">
        <f>(4*PI()/3)*$F$27^3*($B$9-$B$8)*($B$6/$E$18)*(1/$D$27)</f>
        <v>5.7960133556355779E-12</v>
      </c>
      <c r="J41" s="139">
        <f>(4*PI()/3)*$F$27^3*($B$9-$B$8)*($B$6/$E$18)*(ABS(D41)/$D$27^2)</f>
        <v>1.0321730082720102E-11</v>
      </c>
      <c r="K41" s="138">
        <f>SQRT(G41^2*$I$27^2+H41^2*$F$18^2+I41^2*E41^2+J41^2*$E$28^2)</f>
        <v>7.269812482903154E-17</v>
      </c>
      <c r="L41" s="142">
        <f>K41/F41</f>
        <v>0.14393953525752182</v>
      </c>
    </row>
    <row r="42" spans="1:12" x14ac:dyDescent="0.25">
      <c r="A42" s="143">
        <v>2</v>
      </c>
      <c r="B42" s="145">
        <v>98.03</v>
      </c>
      <c r="C42" s="138">
        <f>B42-B41</f>
        <v>8.8400000000000034</v>
      </c>
      <c r="D42" s="139">
        <f t="shared" ref="D42:D45" si="7">$B$12/C42</f>
        <v>5.6561085972850661E-5</v>
      </c>
      <c r="E42" s="139">
        <f t="shared" ref="E42:E44" si="8">SQRT(2)*D42*$B$13/C42</f>
        <v>2.2621452173460408E-6</v>
      </c>
      <c r="F42" s="139">
        <f t="shared" ref="F42:F45" si="9">(4*PI()/3)*$F$27^3*($B$9-$B$8)*($B$6/$E$18)*(1+ABS(D42)/$D$27)</f>
        <v>5.0945072526012609E-16</v>
      </c>
      <c r="G42" s="139">
        <f t="shared" ref="G42:G45" si="10">F42*3/$F$27</f>
        <v>2.9755634002119475E-9</v>
      </c>
      <c r="H42" s="139">
        <f t="shared" ref="H42:H45" si="11">F42/$E$18</f>
        <v>1.935912755988479E-17</v>
      </c>
      <c r="I42" s="138">
        <f t="shared" ref="I42:I45" si="12">(4*PI()/3)*$F$27^3*($B$9-$B$8)*($B$6/$E$18)*(1/$D$27)</f>
        <v>5.7960133556355779E-12</v>
      </c>
      <c r="J42" s="139">
        <f t="shared" ref="J42:J45" si="13">(4*PI()/3)*$F$27^3*($B$9-$B$8)*($B$6/$E$18)*(ABS(D42)/$D$27^2)</f>
        <v>1.0461844065743441E-11</v>
      </c>
      <c r="K42" s="138">
        <f t="shared" ref="K42:K45" si="14">SQRT(G42^2*$I$27^2+H42^2*$F$18^2+I42^2*E42^2+J42^2*$E$28^2)</f>
        <v>7.3375916463470585E-17</v>
      </c>
      <c r="L42" s="142">
        <f t="shared" ref="L42:L45" si="15">K42/F42</f>
        <v>0.14402946708144299</v>
      </c>
    </row>
    <row r="43" spans="1:12" x14ac:dyDescent="0.25">
      <c r="A43" s="143">
        <v>3</v>
      </c>
      <c r="B43" s="145">
        <v>108.1</v>
      </c>
      <c r="C43" s="138">
        <f>B43-B42</f>
        <v>10.069999999999993</v>
      </c>
      <c r="D43" s="139">
        <f t="shared" si="7"/>
        <v>4.9652432969215525E-5</v>
      </c>
      <c r="E43" s="139">
        <f t="shared" si="8"/>
        <v>1.7432756730358901E-6</v>
      </c>
      <c r="F43" s="139">
        <f t="shared" si="9"/>
        <v>4.6940808018160507E-16</v>
      </c>
      <c r="G43" s="139">
        <f t="shared" si="10"/>
        <v>2.7416851795410743E-9</v>
      </c>
      <c r="H43" s="139">
        <f t="shared" si="11"/>
        <v>1.7837507046900991E-17</v>
      </c>
      <c r="I43" s="138">
        <f t="shared" si="12"/>
        <v>5.7960133556355779E-12</v>
      </c>
      <c r="J43" s="139">
        <f t="shared" si="13"/>
        <v>9.183982278170021E-12</v>
      </c>
      <c r="K43" s="138">
        <f t="shared" si="14"/>
        <v>6.7250773582222343E-17</v>
      </c>
      <c r="L43" s="142">
        <f t="shared" si="15"/>
        <v>0.14326718354785092</v>
      </c>
    </row>
    <row r="44" spans="1:12" x14ac:dyDescent="0.25">
      <c r="A44" s="143">
        <v>4</v>
      </c>
      <c r="B44" s="145">
        <v>116.8</v>
      </c>
      <c r="C44" s="138">
        <f>B44-B43</f>
        <v>8.7000000000000028</v>
      </c>
      <c r="D44" s="139">
        <f t="shared" si="7"/>
        <v>5.7471264367816076E-5</v>
      </c>
      <c r="E44" s="139">
        <f t="shared" si="8"/>
        <v>2.335535675738364E-6</v>
      </c>
      <c r="F44" s="139">
        <f t="shared" si="9"/>
        <v>5.1472613139335663E-16</v>
      </c>
      <c r="G44" s="139">
        <f t="shared" si="10"/>
        <v>3.006375615472372E-9</v>
      </c>
      <c r="H44" s="139">
        <f t="shared" si="11"/>
        <v>1.955959299294755E-17</v>
      </c>
      <c r="I44" s="138">
        <f t="shared" si="12"/>
        <v>5.7960133556355779E-12</v>
      </c>
      <c r="J44" s="139">
        <f t="shared" si="13"/>
        <v>1.0630195579445061E-11</v>
      </c>
      <c r="K44" s="138">
        <f t="shared" si="14"/>
        <v>7.4192426157835542E-17</v>
      </c>
      <c r="L44" s="142">
        <f t="shared" si="15"/>
        <v>0.14413961451111421</v>
      </c>
    </row>
    <row r="45" spans="1:12" x14ac:dyDescent="0.25">
      <c r="A45" s="143">
        <v>5</v>
      </c>
      <c r="B45" s="145">
        <v>126.08</v>
      </c>
      <c r="C45" s="138">
        <f>B45-B44</f>
        <v>9.2800000000000011</v>
      </c>
      <c r="D45" s="139">
        <f t="shared" si="7"/>
        <v>5.3879310344827579E-5</v>
      </c>
      <c r="E45" s="139">
        <f>SQRT(2)*D45*$B$13/C45</f>
        <v>2.0527169025044225E-6</v>
      </c>
      <c r="F45" s="139">
        <f t="shared" si="9"/>
        <v>4.939071179032864E-16</v>
      </c>
      <c r="G45" s="139">
        <f t="shared" si="10"/>
        <v>2.8847774088196268E-9</v>
      </c>
      <c r="H45" s="139">
        <f t="shared" si="11"/>
        <v>1.8768470480324881E-17</v>
      </c>
      <c r="I45" s="138">
        <f t="shared" si="12"/>
        <v>5.7960133556355779E-12</v>
      </c>
      <c r="J45" s="139">
        <f t="shared" si="13"/>
        <v>9.965808355729747E-12</v>
      </c>
      <c r="K45" s="138">
        <f t="shared" si="14"/>
        <v>7.098342457725014E-17</v>
      </c>
      <c r="L45" s="142">
        <f t="shared" si="15"/>
        <v>0.14371816482132505</v>
      </c>
    </row>
    <row r="46" spans="1:12" x14ac:dyDescent="0.25">
      <c r="L46" s="142"/>
    </row>
    <row r="47" spans="1:12" x14ac:dyDescent="0.25">
      <c r="L47" s="142"/>
    </row>
    <row r="49" spans="1:12" x14ac:dyDescent="0.25">
      <c r="A49" s="138" t="s">
        <v>7</v>
      </c>
    </row>
    <row r="50" spans="1:12" x14ac:dyDescent="0.25">
      <c r="B50" s="138" t="s">
        <v>23</v>
      </c>
      <c r="C50" s="138" t="s">
        <v>27</v>
      </c>
      <c r="D50" s="138" t="s">
        <v>24</v>
      </c>
      <c r="E50" s="138" t="s">
        <v>29</v>
      </c>
      <c r="F50" s="138" t="s">
        <v>37</v>
      </c>
      <c r="G50" s="138" t="s">
        <v>39</v>
      </c>
      <c r="H50" s="138" t="s">
        <v>40</v>
      </c>
      <c r="I50" s="138" t="s">
        <v>41</v>
      </c>
      <c r="J50" s="138" t="s">
        <v>42</v>
      </c>
      <c r="K50" s="138" t="s">
        <v>2</v>
      </c>
      <c r="L50" s="138" t="s">
        <v>43</v>
      </c>
    </row>
    <row r="51" spans="1:12" x14ac:dyDescent="0.25">
      <c r="A51" s="143">
        <v>6</v>
      </c>
      <c r="B51" s="146">
        <v>130.31</v>
      </c>
      <c r="C51" s="138">
        <f>B51-B45</f>
        <v>4.230000000000004</v>
      </c>
      <c r="D51" s="139">
        <f>$B$12/C51</f>
        <v>1.1820330969267128E-4</v>
      </c>
      <c r="E51" s="139">
        <f>SQRT(2)*D51*$B$13/C51</f>
        <v>9.8797118016999232E-6</v>
      </c>
      <c r="F51" s="139">
        <f>-(4*PI()/3)*$F$27^3*($B$9-$B$8)*($B$6/$E$18)*(1-ABS(D51)/$D$27)</f>
        <v>5.0348604610681942E-16</v>
      </c>
      <c r="G51" s="139">
        <f>F51*3/$F$27</f>
        <v>2.9407253283385115E-9</v>
      </c>
      <c r="H51" s="139">
        <f>F51/$E$18</f>
        <v>1.9132469752059136E-17</v>
      </c>
      <c r="I51" s="138">
        <f>-(4*PI()/3)*$F$27^3*($B$9-$B$8)*($B$6/$E$18)*(-1/$D$27)</f>
        <v>5.7960133556355779E-12</v>
      </c>
      <c r="J51" s="139">
        <f>-(4*PI()/3)*$F$27^3*($B$9-$B$8)*($B$6/$E$18)*(-ABS(D51)/$D$27^2)</f>
        <v>2.1863522822972095E-11</v>
      </c>
      <c r="K51" s="138">
        <f>SQRT(G51^2*$I$27^2+H51^2*$F$18^2+I51^2*E51^2+J51^2*$E$28^2)</f>
        <v>9.2521594259611621E-17</v>
      </c>
      <c r="L51" s="142">
        <f>K51/F51</f>
        <v>0.18376198302818958</v>
      </c>
    </row>
    <row r="52" spans="1:12" x14ac:dyDescent="0.25">
      <c r="A52" s="143">
        <v>7</v>
      </c>
      <c r="B52" s="146">
        <v>134.4</v>
      </c>
      <c r="C52" s="138">
        <f>B52-B51</f>
        <v>4.0900000000000034</v>
      </c>
      <c r="D52" s="139">
        <f t="shared" ref="D52:D55" si="16">$B$12/C52</f>
        <v>1.2224938875305614E-4</v>
      </c>
      <c r="E52" s="139">
        <f t="shared" ref="E52:E54" si="17">SQRT(2)*D52*$B$13/C52</f>
        <v>1.0567649362248947E-5</v>
      </c>
      <c r="F52" s="139">
        <f t="shared" ref="F52:F55" si="18">-(4*PI()/3)*$F$27^3*($B$9-$B$8)*($B$6/$E$18)*(1-ABS(D52)/$D$27)</f>
        <v>5.2693717437876746E-16</v>
      </c>
      <c r="G52" s="139">
        <f t="shared" ref="G52:G55" si="19">F52*3/$F$27</f>
        <v>3.0776970029672095E-9</v>
      </c>
      <c r="H52" s="139">
        <f t="shared" ref="H52:H55" si="20">F52/$E$18</f>
        <v>2.0023612626393161E-17</v>
      </c>
      <c r="I52" s="138">
        <f t="shared" ref="I52:I55" si="21">-(4*PI()/3)*$F$27^3*($B$9-$B$8)*($B$6/$E$18)*(-1/$D$27)</f>
        <v>5.7960133556355779E-12</v>
      </c>
      <c r="J52" s="139">
        <f t="shared" ref="J52:J55" si="22">-(4*PI()/3)*$F$27^3*($B$9-$B$8)*($B$6/$E$18)*(-ABS(D52)/$D$27^2)</f>
        <v>2.2611907467279216E-11</v>
      </c>
      <c r="K52" s="138">
        <f t="shared" ref="K52:K55" si="23">SQRT(G52^2*$I$27^2+H52^2*$F$18^2+I52^2*E52^2+J52^2*$E$28^2)</f>
        <v>9.7621301344760421E-17</v>
      </c>
      <c r="L52" s="142">
        <f t="shared" ref="L52:L55" si="24">K52/F52</f>
        <v>0.18526174673451545</v>
      </c>
    </row>
    <row r="53" spans="1:12" x14ac:dyDescent="0.25">
      <c r="A53" s="143">
        <v>8</v>
      </c>
      <c r="B53" s="146">
        <v>138.84</v>
      </c>
      <c r="C53" s="138">
        <f>B53-B52</f>
        <v>4.4399999999999977</v>
      </c>
      <c r="D53" s="139">
        <f t="shared" si="16"/>
        <v>1.1261261261261267E-4</v>
      </c>
      <c r="E53" s="139">
        <f t="shared" si="17"/>
        <v>8.9672457235937153E-6</v>
      </c>
      <c r="F53" s="139">
        <f t="shared" si="18"/>
        <v>4.7108229116348684E-16</v>
      </c>
      <c r="G53" s="139">
        <f t="shared" si="19"/>
        <v>2.7514637914360257E-9</v>
      </c>
      <c r="H53" s="139">
        <f t="shared" si="20"/>
        <v>1.79011270642125E-17</v>
      </c>
      <c r="I53" s="138">
        <f t="shared" si="21"/>
        <v>5.7960133556355779E-12</v>
      </c>
      <c r="J53" s="139">
        <f t="shared" si="22"/>
        <v>2.0829437284047769E-11</v>
      </c>
      <c r="K53" s="138">
        <f t="shared" si="23"/>
        <v>8.5630134718951525E-17</v>
      </c>
      <c r="L53" s="142">
        <f t="shared" si="24"/>
        <v>0.18177319828232302</v>
      </c>
    </row>
    <row r="54" spans="1:12" x14ac:dyDescent="0.25">
      <c r="A54" s="143">
        <v>9</v>
      </c>
      <c r="B54" s="146">
        <v>143.66999999999999</v>
      </c>
      <c r="C54" s="138">
        <f>B54-B53</f>
        <v>4.8299999999999841</v>
      </c>
      <c r="D54" s="139">
        <f t="shared" si="16"/>
        <v>1.0351966873706038E-4</v>
      </c>
      <c r="E54" s="139">
        <f t="shared" si="17"/>
        <v>7.5775838250683939E-6</v>
      </c>
      <c r="F54" s="139">
        <f t="shared" si="18"/>
        <v>4.1837946701874106E-16</v>
      </c>
      <c r="G54" s="139">
        <f t="shared" si="19"/>
        <v>2.4436409013364202E-9</v>
      </c>
      <c r="H54" s="139">
        <f t="shared" si="20"/>
        <v>1.589841974671216E-17</v>
      </c>
      <c r="I54" s="138">
        <f t="shared" si="21"/>
        <v>5.7960133556355779E-12</v>
      </c>
      <c r="J54" s="139">
        <f t="shared" si="22"/>
        <v>1.9147557254901107E-11</v>
      </c>
      <c r="K54" s="138">
        <f t="shared" si="23"/>
        <v>7.4795673021788107E-17</v>
      </c>
      <c r="L54" s="142">
        <f t="shared" si="24"/>
        <v>0.17877472227488087</v>
      </c>
    </row>
    <row r="55" spans="1:12" x14ac:dyDescent="0.25">
      <c r="A55" s="143">
        <v>10</v>
      </c>
      <c r="B55" s="146">
        <v>147.94999999999999</v>
      </c>
      <c r="C55" s="138">
        <f>B55-B54</f>
        <v>4.2800000000000011</v>
      </c>
      <c r="D55" s="139">
        <f t="shared" si="16"/>
        <v>1.1682242990654203E-4</v>
      </c>
      <c r="E55" s="139">
        <f>SQRT(2)*D55*$B$13/C55</f>
        <v>9.6502257455147183E-6</v>
      </c>
      <c r="F55" s="139">
        <f t="shared" si="18"/>
        <v>4.9548244842388714E-16</v>
      </c>
      <c r="G55" s="139">
        <f t="shared" si="19"/>
        <v>2.8939784867804895E-9</v>
      </c>
      <c r="H55" s="139">
        <f t="shared" si="20"/>
        <v>1.8828333040107711E-17</v>
      </c>
      <c r="I55" s="138">
        <f t="shared" si="21"/>
        <v>5.7960133556355779E-12</v>
      </c>
      <c r="J55" s="139">
        <f t="shared" si="22"/>
        <v>2.1608107836722438E-11</v>
      </c>
      <c r="K55" s="138">
        <f t="shared" si="23"/>
        <v>9.0802822918947289E-17</v>
      </c>
      <c r="L55" s="142">
        <f t="shared" si="24"/>
        <v>0.18326143177783186</v>
      </c>
    </row>
    <row r="56" spans="1:12" x14ac:dyDescent="0.25">
      <c r="L56" s="142"/>
    </row>
    <row r="57" spans="1:12" x14ac:dyDescent="0.25">
      <c r="L57" s="142"/>
    </row>
    <row r="59" spans="1:12" x14ac:dyDescent="0.25">
      <c r="B59" s="138" t="s">
        <v>38</v>
      </c>
    </row>
    <row r="60" spans="1:12" x14ac:dyDescent="0.25">
      <c r="A60" s="139"/>
      <c r="B60" s="138" t="s">
        <v>44</v>
      </c>
      <c r="C60" s="138" t="s">
        <v>45</v>
      </c>
    </row>
    <row r="61" spans="1:12" x14ac:dyDescent="0.25">
      <c r="A61" s="138">
        <v>1</v>
      </c>
      <c r="B61" s="139">
        <f>F41</f>
        <v>5.0506016084439576E-16</v>
      </c>
      <c r="C61" s="138">
        <f>K41</f>
        <v>7.269812482903154E-17</v>
      </c>
    </row>
    <row r="62" spans="1:12" x14ac:dyDescent="0.25">
      <c r="A62" s="138">
        <v>2</v>
      </c>
      <c r="B62" s="139">
        <f t="shared" ref="B62:B65" si="25">F42</f>
        <v>5.0945072526012609E-16</v>
      </c>
      <c r="C62" s="138">
        <f t="shared" ref="C62:C65" si="26">K42</f>
        <v>7.3375916463470585E-17</v>
      </c>
    </row>
    <row r="63" spans="1:12" x14ac:dyDescent="0.25">
      <c r="A63" s="138">
        <v>3</v>
      </c>
      <c r="B63" s="139">
        <f t="shared" si="25"/>
        <v>4.6940808018160507E-16</v>
      </c>
      <c r="C63" s="138">
        <f t="shared" si="26"/>
        <v>6.7250773582222343E-17</v>
      </c>
    </row>
    <row r="64" spans="1:12" x14ac:dyDescent="0.25">
      <c r="A64" s="138">
        <v>4</v>
      </c>
      <c r="B64" s="139">
        <f t="shared" si="25"/>
        <v>5.1472613139335663E-16</v>
      </c>
      <c r="C64" s="138">
        <f t="shared" si="26"/>
        <v>7.4192426157835542E-17</v>
      </c>
    </row>
    <row r="65" spans="1:3" x14ac:dyDescent="0.25">
      <c r="A65" s="138">
        <v>5</v>
      </c>
      <c r="B65" s="139">
        <f t="shared" si="25"/>
        <v>4.939071179032864E-16</v>
      </c>
      <c r="C65" s="138">
        <f t="shared" si="26"/>
        <v>7.098342457725014E-17</v>
      </c>
    </row>
    <row r="66" spans="1:3" x14ac:dyDescent="0.25">
      <c r="A66" s="138">
        <v>6</v>
      </c>
      <c r="B66" s="139">
        <f>F51</f>
        <v>5.0348604610681942E-16</v>
      </c>
      <c r="C66" s="138">
        <f>K51</f>
        <v>9.2521594259611621E-17</v>
      </c>
    </row>
    <row r="67" spans="1:3" x14ac:dyDescent="0.25">
      <c r="A67" s="138">
        <v>7</v>
      </c>
      <c r="B67" s="139">
        <f t="shared" ref="B67:B70" si="27">F52</f>
        <v>5.2693717437876746E-16</v>
      </c>
      <c r="C67" s="138">
        <f t="shared" ref="C67:C70" si="28">K52</f>
        <v>9.7621301344760421E-17</v>
      </c>
    </row>
    <row r="68" spans="1:3" x14ac:dyDescent="0.25">
      <c r="A68" s="138">
        <v>8</v>
      </c>
      <c r="B68" s="139">
        <f t="shared" si="27"/>
        <v>4.7108229116348684E-16</v>
      </c>
      <c r="C68" s="138">
        <f t="shared" si="28"/>
        <v>8.5630134718951525E-17</v>
      </c>
    </row>
    <row r="69" spans="1:3" x14ac:dyDescent="0.25">
      <c r="A69" s="138">
        <v>9</v>
      </c>
      <c r="B69" s="139">
        <f t="shared" si="27"/>
        <v>4.1837946701874106E-16</v>
      </c>
      <c r="C69" s="138">
        <f t="shared" si="28"/>
        <v>7.4795673021788107E-17</v>
      </c>
    </row>
    <row r="70" spans="1:3" x14ac:dyDescent="0.25">
      <c r="A70" s="138">
        <v>10</v>
      </c>
      <c r="B70" s="139">
        <f t="shared" si="27"/>
        <v>4.9548244842388714E-16</v>
      </c>
      <c r="C70" s="138">
        <f t="shared" si="28"/>
        <v>9.0802822918947289E-17</v>
      </c>
    </row>
  </sheetData>
  <mergeCells count="2">
    <mergeCell ref="A1:C2"/>
    <mergeCell ref="A14:C15"/>
  </mergeCells>
  <conditionalFormatting sqref="C32:G36">
    <cfRule type="cellIs" dxfId="17" priority="5" operator="notBetween">
      <formula>-1.96</formula>
      <formula>1.96</formula>
    </cfRule>
  </conditionalFormatting>
  <conditionalFormatting sqref="L41:L47">
    <cfRule type="cellIs" priority="4" operator="greaterThan">
      <formula>0.04</formula>
    </cfRule>
  </conditionalFormatting>
  <conditionalFormatting sqref="L51:L57">
    <cfRule type="cellIs" priority="2" operator="greaterThan">
      <formula>0.04</formula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3" operator="greaterThan" id="{3D6AE45A-1FB3-4A42-A1A8-45E18AA5577D}">
            <xm:f>Dati!$B$14</xm:f>
            <x14:dxf>
              <fill>
                <patternFill>
                  <bgColor theme="5"/>
                </patternFill>
              </fill>
            </x14:dxf>
          </x14:cfRule>
          <xm:sqref>L41:L47</xm:sqref>
        </x14:conditionalFormatting>
        <x14:conditionalFormatting xmlns:xm="http://schemas.microsoft.com/office/excel/2006/main">
          <x14:cfRule type="cellIs" priority="1" operator="greaterThan" id="{61E88586-E1A9-4D37-BE52-DD6A239BB4CD}">
            <xm:f>Dati!$B$14</xm:f>
            <x14:dxf>
              <fill>
                <patternFill>
                  <bgColor theme="5"/>
                </patternFill>
              </fill>
            </x14:dxf>
          </x14:cfRule>
          <xm:sqref>L51:L57</xm:sqref>
        </x14:conditionalFormatting>
      </x14:conditionalFormatting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workbookViewId="0">
      <selection activeCell="B51" sqref="B51:B55"/>
    </sheetView>
  </sheetViews>
  <sheetFormatPr defaultRowHeight="15" x14ac:dyDescent="0.25"/>
  <cols>
    <col min="1" max="1" width="13.140625" style="146" customWidth="1"/>
    <col min="2" max="2" width="9.140625" style="146"/>
    <col min="3" max="5" width="12" style="146" customWidth="1"/>
    <col min="6" max="7" width="12.140625" style="146" customWidth="1"/>
    <col min="8" max="9" width="12" style="146" customWidth="1"/>
    <col min="10" max="10" width="9.140625" style="146"/>
    <col min="11" max="11" width="12" style="146" customWidth="1"/>
    <col min="12" max="16384" width="9.140625" style="146"/>
  </cols>
  <sheetData>
    <row r="1" spans="1:5" x14ac:dyDescent="0.25">
      <c r="A1" s="187" t="str">
        <f>[1]Dati!A1</f>
        <v>Costanti varie</v>
      </c>
      <c r="B1" s="187"/>
      <c r="C1" s="187"/>
    </row>
    <row r="2" spans="1:5" x14ac:dyDescent="0.25">
      <c r="A2" s="187"/>
      <c r="B2" s="187"/>
      <c r="C2" s="187"/>
    </row>
    <row r="4" spans="1:5" x14ac:dyDescent="0.25">
      <c r="B4" s="146" t="s">
        <v>1</v>
      </c>
      <c r="C4" s="146" t="s">
        <v>2</v>
      </c>
    </row>
    <row r="5" spans="1:5" x14ac:dyDescent="0.25">
      <c r="A5" s="146" t="str">
        <f>[1]Dati!A5</f>
        <v>d</v>
      </c>
      <c r="B5" s="147">
        <v>7.6</v>
      </c>
      <c r="C5" s="146">
        <f>[1]Dati!C5</f>
        <v>1.0000000000000001E-5</v>
      </c>
    </row>
    <row r="6" spans="1:5" x14ac:dyDescent="0.25">
      <c r="A6" s="146" t="str">
        <f>[1]Dati!A6</f>
        <v>g</v>
      </c>
      <c r="B6" s="146">
        <f>[1]Dati!B6</f>
        <v>9.8059999999999992</v>
      </c>
      <c r="C6" s="146">
        <f>[1]Dati!C6</f>
        <v>0</v>
      </c>
    </row>
    <row r="7" spans="1:5" x14ac:dyDescent="0.25">
      <c r="A7" s="146" t="str">
        <f>[1]Dati!A7</f>
        <v>pressione</v>
      </c>
      <c r="B7" s="146">
        <f>[1]Dati!B7</f>
        <v>101325</v>
      </c>
      <c r="C7" s="146">
        <f>[1]Dati!C7</f>
        <v>0</v>
      </c>
    </row>
    <row r="8" spans="1:5" x14ac:dyDescent="0.25">
      <c r="A8" s="146" t="str">
        <f>[1]Dati!A8</f>
        <v>densità aria</v>
      </c>
      <c r="B8" s="146">
        <v>0</v>
      </c>
      <c r="C8" s="146">
        <f>[1]Dati!C8</f>
        <v>0</v>
      </c>
    </row>
    <row r="9" spans="1:5" x14ac:dyDescent="0.25">
      <c r="A9" s="146" t="str">
        <f>[1]Dati!A9</f>
        <v>densità olio</v>
      </c>
      <c r="B9" s="146">
        <v>858.7</v>
      </c>
      <c r="C9" s="146">
        <f>[1]Dati!C9</f>
        <v>0</v>
      </c>
    </row>
    <row r="10" spans="1:5" x14ac:dyDescent="0.25">
      <c r="A10" s="146" t="str">
        <f>[1]Dati!A10</f>
        <v>cst corr vis</v>
      </c>
      <c r="B10" s="146">
        <f>[1]Dati!B10</f>
        <v>8.2000000000000007E-3</v>
      </c>
      <c r="C10" s="146">
        <f>[1]Dati!C10</f>
        <v>0</v>
      </c>
    </row>
    <row r="11" spans="1:5" x14ac:dyDescent="0.25">
      <c r="A11" s="146" t="str">
        <f>[1]Dati!A11</f>
        <v>e</v>
      </c>
      <c r="B11" s="146">
        <f>[1]Dati!B11</f>
        <v>1.6021766200000001E-19</v>
      </c>
      <c r="C11" s="146">
        <f>[1]Dati!C11</f>
        <v>0</v>
      </c>
    </row>
    <row r="12" spans="1:5" x14ac:dyDescent="0.25">
      <c r="A12" s="146" t="str">
        <f>[1]Dati!A12</f>
        <v>deltax</v>
      </c>
      <c r="B12" s="146">
        <f>[1]Dati!B12</f>
        <v>5.0000000000000001E-4</v>
      </c>
      <c r="C12" s="146">
        <f>[1]Dati!C12</f>
        <v>0</v>
      </c>
    </row>
    <row r="13" spans="1:5" x14ac:dyDescent="0.25">
      <c r="A13" s="146" t="s">
        <v>30</v>
      </c>
      <c r="B13" s="146">
        <f>Dati!B13</f>
        <v>0.25</v>
      </c>
    </row>
    <row r="14" spans="1:5" x14ac:dyDescent="0.25">
      <c r="A14" s="187" t="s">
        <v>17</v>
      </c>
      <c r="B14" s="187"/>
      <c r="C14" s="187"/>
      <c r="D14" s="149"/>
    </row>
    <row r="15" spans="1:5" x14ac:dyDescent="0.25">
      <c r="A15" s="187"/>
      <c r="B15" s="187"/>
      <c r="C15" s="187"/>
      <c r="D15" s="149"/>
    </row>
    <row r="16" spans="1:5" x14ac:dyDescent="0.25">
      <c r="A16" s="146" t="s">
        <v>18</v>
      </c>
      <c r="B16" s="146">
        <v>200</v>
      </c>
      <c r="C16" s="146">
        <f>B16/100</f>
        <v>2</v>
      </c>
      <c r="D16" s="146" t="s">
        <v>19</v>
      </c>
      <c r="E16" s="146">
        <f>(1.8+(B18-15)*0.004765)*0.00001</f>
        <v>1.8262075000000001E-5</v>
      </c>
    </row>
    <row r="17" spans="1:10" x14ac:dyDescent="0.25">
      <c r="A17" s="146" t="s">
        <v>20</v>
      </c>
      <c r="E17" s="148"/>
    </row>
    <row r="18" spans="1:10" x14ac:dyDescent="0.25">
      <c r="A18" s="146" t="s">
        <v>21</v>
      </c>
      <c r="B18" s="146">
        <v>20.5</v>
      </c>
      <c r="C18" s="146">
        <v>0.5</v>
      </c>
      <c r="D18" s="146" t="s">
        <v>22</v>
      </c>
      <c r="E18" s="147">
        <f>B16/B5</f>
        <v>26.315789473684212</v>
      </c>
      <c r="F18" s="146">
        <f>SQRT((C16/B5)^2+(B16*C5/B5^2)^2)</f>
        <v>0.26315789701487097</v>
      </c>
      <c r="G18" s="147"/>
    </row>
    <row r="21" spans="1:10" x14ac:dyDescent="0.25">
      <c r="B21" s="146" t="s">
        <v>23</v>
      </c>
      <c r="C21" s="146" t="s">
        <v>27</v>
      </c>
      <c r="D21" s="146" t="s">
        <v>24</v>
      </c>
      <c r="E21" s="146" t="s">
        <v>29</v>
      </c>
      <c r="F21" s="146" t="s">
        <v>25</v>
      </c>
      <c r="G21" s="146" t="s">
        <v>26</v>
      </c>
      <c r="H21" s="146" t="s">
        <v>28</v>
      </c>
      <c r="I21" s="146" t="s">
        <v>31</v>
      </c>
      <c r="J21" s="146" t="s">
        <v>32</v>
      </c>
    </row>
    <row r="22" spans="1:10" x14ac:dyDescent="0.25">
      <c r="A22" s="146">
        <v>1</v>
      </c>
      <c r="B22" s="152">
        <v>20.36</v>
      </c>
      <c r="C22" s="146">
        <f>B22</f>
        <v>20.36</v>
      </c>
      <c r="D22" s="147">
        <f>B12/B22</f>
        <v>2.4557956777996073E-5</v>
      </c>
      <c r="E22" s="147">
        <f>SQRT(2)*D22*$B$13/C22</f>
        <v>4.2645132047660022E-7</v>
      </c>
      <c r="F22" s="5">
        <f>(($B$10/(2*$B$7))^2+9*$E$16*D22/(2*$B$6*($B$9-$B$8)))^(1/2)-$B$10/(2*$B$7)</f>
        <v>4.5077096714183955E-7</v>
      </c>
      <c r="G22" s="146">
        <f>(($B$10/(2*$B$7))^2+9*$E$16*D22/(2*$B$6*($B$9-$B$8)))^(-1/2)*(9*$E$16)/(4*$B$6*$B$9)</f>
        <v>9.9336795097610918E-3</v>
      </c>
      <c r="H22" s="146">
        <f>(($B$10/(2*$B$7))^2+9*$E$16*D22/(2*$B$6*($B$9-$B$8)))^(-1/2)*((9*D22)/(4*$B$6*$B$9))*0.00000004765</f>
        <v>6.3652454899281919E-10</v>
      </c>
      <c r="I22" s="146">
        <f>SQRT(G22^2*E22^2+H22^2*$C$18^2+$F$28^2)</f>
        <v>3.2437547622611131E-8</v>
      </c>
      <c r="J22" s="147">
        <f>I22/F22</f>
        <v>7.1960152687482945E-2</v>
      </c>
    </row>
    <row r="23" spans="1:10" x14ac:dyDescent="0.25">
      <c r="A23" s="146">
        <v>2</v>
      </c>
      <c r="B23" s="152">
        <v>40.54</v>
      </c>
      <c r="C23" s="146">
        <f>B23-B22</f>
        <v>20.18</v>
      </c>
      <c r="D23" s="147">
        <f>$B$12/(B23-B22)</f>
        <v>2.4777006937561945E-5</v>
      </c>
      <c r="E23" s="147">
        <f t="shared" ref="E23:E25" si="0">SQRT(2)*D23*$B$13/C23</f>
        <v>4.3409290443647633E-7</v>
      </c>
      <c r="F23" s="5">
        <f>(($B$10/(2*$B$7))^2+9*E16*D23/(2*$B$6*($B$9-$B$8)))^(1/2)-$B$10/(2*$B$7)</f>
        <v>4.5294214310574092E-7</v>
      </c>
      <c r="G23" s="146">
        <f t="shared" ref="G23:G27" si="1">(($B$10/(2*$B$7))^2+9*$E$16*D23/(2*$B$6*($B$9-$B$8)))^(-1/2)*(9*$E$16)/(4*$B$6*$B$9)</f>
        <v>9.8899675031903743E-3</v>
      </c>
      <c r="H23" s="146">
        <f t="shared" ref="H23:H27" si="2">(($B$10/(2*$B$7))^2+9*$E$16*D23/(2*$B$6*($B$9-$B$8)))^(-1/2)*((9*D23)/(4*$B$6*$B$9))*0.00000004765</f>
        <v>6.3937623503130382E-10</v>
      </c>
      <c r="I23" s="146">
        <f t="shared" ref="I23:I27" si="3">SQRT(G23^2*E23^2+H23^2*$C$18^2+$F$28^2)</f>
        <v>3.2445046120582643E-8</v>
      </c>
      <c r="J23" s="147">
        <f t="shared" ref="J23:J27" si="4">I23/F23</f>
        <v>7.1631767135009627E-2</v>
      </c>
    </row>
    <row r="24" spans="1:10" x14ac:dyDescent="0.25">
      <c r="A24" s="146">
        <v>3</v>
      </c>
      <c r="B24" s="152">
        <v>60</v>
      </c>
      <c r="C24" s="146">
        <f t="shared" ref="C24:C26" si="5">B24-B23</f>
        <v>19.46</v>
      </c>
      <c r="D24" s="147">
        <f>$B$12/(B24-B23)</f>
        <v>2.5693730729701953E-5</v>
      </c>
      <c r="E24" s="147">
        <f t="shared" si="0"/>
        <v>4.6680912725985181E-7</v>
      </c>
      <c r="F24" s="5">
        <f>(($B$10/(2*$B$7))^2+9*E16*D24/(2*$B$6*($B$9-$B$8)))^(1/2)-$B$10/(2*$B$7)</f>
        <v>4.6192671037509545E-7</v>
      </c>
      <c r="G24" s="146">
        <f t="shared" si="1"/>
        <v>9.7130989777113892E-3</v>
      </c>
      <c r="H24" s="146">
        <f t="shared" si="2"/>
        <v>6.5117507032771332E-10</v>
      </c>
      <c r="I24" s="146">
        <f t="shared" si="3"/>
        <v>3.2477872431217347E-8</v>
      </c>
      <c r="J24" s="147">
        <f t="shared" si="4"/>
        <v>7.0309578774616743E-2</v>
      </c>
    </row>
    <row r="25" spans="1:10" x14ac:dyDescent="0.25">
      <c r="A25" s="146">
        <v>4</v>
      </c>
      <c r="B25" s="152">
        <v>78.099999999999994</v>
      </c>
      <c r="C25" s="146">
        <f t="shared" si="5"/>
        <v>18.099999999999994</v>
      </c>
      <c r="D25" s="147">
        <f>$B$12/(B25-B24)</f>
        <v>2.7624309392265204E-5</v>
      </c>
      <c r="E25" s="147">
        <f t="shared" si="0"/>
        <v>5.3959493085265102E-7</v>
      </c>
      <c r="F25" s="5">
        <f>(($B$10/(2*$B$7))^2+9*E16*D25/(2*$B$6*($B$9-$B$8)))^(1/2)-$B$10/(2*$B$7)</f>
        <v>4.803411345157012E-7</v>
      </c>
      <c r="G25" s="146">
        <f t="shared" si="1"/>
        <v>9.3696669287457717E-3</v>
      </c>
      <c r="H25" s="146">
        <f t="shared" si="2"/>
        <v>6.7534916204611875E-10</v>
      </c>
      <c r="I25" s="146">
        <f t="shared" si="3"/>
        <v>3.2554921936477596E-8</v>
      </c>
      <c r="J25" s="147">
        <f t="shared" si="4"/>
        <v>6.7774586845036178E-2</v>
      </c>
    </row>
    <row r="26" spans="1:10" x14ac:dyDescent="0.25">
      <c r="A26" s="146">
        <v>5</v>
      </c>
      <c r="B26" s="152">
        <v>93.25</v>
      </c>
      <c r="C26" s="146">
        <f t="shared" si="5"/>
        <v>15.150000000000006</v>
      </c>
      <c r="D26" s="147">
        <f>$B$12/(B26-B25)</f>
        <v>3.3003300330032994E-5</v>
      </c>
      <c r="E26" s="147">
        <f>SQRT(2)*D26*$B$13/C26</f>
        <v>7.7019331567335133E-7</v>
      </c>
      <c r="F26" s="5">
        <f>(($B$10/(2*$B$7))^2+9*E16*D26/(2*$B$6*($B$9-$B$8)))^(1/2)-$B$10/(2*$B$7)</f>
        <v>5.2851268813833347E-7</v>
      </c>
      <c r="G26" s="146">
        <f t="shared" si="1"/>
        <v>8.5763979984674037E-3</v>
      </c>
      <c r="H26" s="146">
        <f t="shared" si="2"/>
        <v>7.38541801151643E-10</v>
      </c>
      <c r="I26" s="146">
        <f t="shared" si="3"/>
        <v>3.2831636256481724E-8</v>
      </c>
      <c r="J26" s="147">
        <f t="shared" si="4"/>
        <v>6.2120809950901947E-2</v>
      </c>
    </row>
    <row r="27" spans="1:10" x14ac:dyDescent="0.25">
      <c r="A27" s="7" t="s">
        <v>34</v>
      </c>
      <c r="B27" s="7"/>
      <c r="C27" s="7">
        <f>AVERAGE(C22:C26)</f>
        <v>18.649999999999999</v>
      </c>
      <c r="D27" s="7">
        <f>AVERAGE(D22:D26)</f>
        <v>2.7131260833511634E-5</v>
      </c>
      <c r="E27" s="8">
        <f>SQRT(2)*D27*$B$13/C27</f>
        <v>5.143350808985807E-7</v>
      </c>
      <c r="F27" s="9">
        <f>AVERAGE(F22:F26)</f>
        <v>4.7489872865534213E-7</v>
      </c>
      <c r="G27" s="7">
        <f t="shared" si="1"/>
        <v>9.4539012102768522E-3</v>
      </c>
      <c r="H27" s="7">
        <f t="shared" si="2"/>
        <v>6.692583822694018E-10</v>
      </c>
      <c r="I27" s="7">
        <f t="shared" si="3"/>
        <v>3.2525423514129465E-8</v>
      </c>
      <c r="J27" s="8">
        <f t="shared" si="4"/>
        <v>6.8489177905832629E-2</v>
      </c>
    </row>
    <row r="28" spans="1:10" x14ac:dyDescent="0.25">
      <c r="A28" s="146" t="s">
        <v>35</v>
      </c>
      <c r="C28" s="6">
        <f>_xlfn.STDEV.S(C22:C26)</f>
        <v>2.149046300106181</v>
      </c>
      <c r="D28" s="147">
        <f>_xlfn.STDEV.S(D22:D26)</f>
        <v>3.4983868674748506E-6</v>
      </c>
      <c r="E28" s="8">
        <f>SQRT(2)*D28*$B$13/C28</f>
        <v>5.7554206186325706E-7</v>
      </c>
      <c r="F28" s="147">
        <f>_xlfn.STDEV.S(F22:F26)</f>
        <v>3.2158164654972053E-8</v>
      </c>
    </row>
    <row r="30" spans="1:10" x14ac:dyDescent="0.25">
      <c r="A30" s="146" t="s">
        <v>31</v>
      </c>
      <c r="C30" s="146">
        <f t="array" ref="C30:G31">TRANSPOSE(A32:B36)</f>
        <v>3.2437547622611131E-8</v>
      </c>
      <c r="D30" s="146">
        <v>3.2445046120582643E-8</v>
      </c>
      <c r="E30" s="146">
        <v>3.2477872431217347E-8</v>
      </c>
      <c r="F30" s="146">
        <v>3.2554921936477596E-8</v>
      </c>
      <c r="G30" s="146">
        <v>3.2831636256481724E-8</v>
      </c>
    </row>
    <row r="31" spans="1:10" x14ac:dyDescent="0.25">
      <c r="B31" s="146" t="s">
        <v>25</v>
      </c>
      <c r="C31" s="146">
        <v>4.5077096714183955E-7</v>
      </c>
      <c r="D31" s="146">
        <v>4.5294214310574092E-7</v>
      </c>
      <c r="E31" s="146">
        <v>4.6192671037509545E-7</v>
      </c>
      <c r="F31" s="146">
        <v>4.803411345157012E-7</v>
      </c>
      <c r="G31" s="146">
        <v>5.2851268813833347E-7</v>
      </c>
    </row>
    <row r="32" spans="1:10" x14ac:dyDescent="0.25">
      <c r="A32" s="146">
        <f>I22</f>
        <v>3.2437547622611131E-8</v>
      </c>
      <c r="B32" s="5">
        <f>F22</f>
        <v>4.5077096714183955E-7</v>
      </c>
      <c r="C32" s="146">
        <f t="shared" ref="C32:G36" si="6">(C$31-$B32)/SQRT(C$30^2+$A32^2)</f>
        <v>0</v>
      </c>
      <c r="D32" s="146">
        <f t="shared" si="6"/>
        <v>4.7324040190121104E-2</v>
      </c>
      <c r="E32" s="146">
        <f t="shared" si="6"/>
        <v>0.2430331702672032</v>
      </c>
      <c r="F32" s="146">
        <f t="shared" si="6"/>
        <v>0.64343552152475858</v>
      </c>
      <c r="G32" s="146">
        <f t="shared" si="6"/>
        <v>1.68443031851666</v>
      </c>
    </row>
    <row r="33" spans="1:12" x14ac:dyDescent="0.25">
      <c r="A33" s="146">
        <f>I23</f>
        <v>3.2445046120582643E-8</v>
      </c>
      <c r="B33" s="5">
        <f>F23</f>
        <v>4.5294214310574092E-7</v>
      </c>
      <c r="C33" s="146">
        <f t="shared" si="6"/>
        <v>-4.7324040190121104E-2</v>
      </c>
      <c r="D33" s="146">
        <f t="shared" si="6"/>
        <v>0</v>
      </c>
      <c r="E33" s="146">
        <f t="shared" si="6"/>
        <v>0.19571047549366907</v>
      </c>
      <c r="F33" s="146">
        <f t="shared" si="6"/>
        <v>0.59612290660251355</v>
      </c>
      <c r="G33" s="146">
        <f t="shared" si="6"/>
        <v>1.6372004769287554</v>
      </c>
    </row>
    <row r="34" spans="1:12" x14ac:dyDescent="0.25">
      <c r="A34" s="146">
        <f>I24</f>
        <v>3.2477872431217347E-8</v>
      </c>
      <c r="B34" s="5">
        <f>F24</f>
        <v>4.6192671037509545E-7</v>
      </c>
      <c r="C34" s="146">
        <f t="shared" si="6"/>
        <v>-0.2430331702672032</v>
      </c>
      <c r="D34" s="146">
        <f t="shared" si="6"/>
        <v>-0.19571047549366907</v>
      </c>
      <c r="E34" s="146">
        <f t="shared" si="6"/>
        <v>0</v>
      </c>
      <c r="F34" s="146">
        <f t="shared" si="6"/>
        <v>0.40044273567827782</v>
      </c>
      <c r="G34" s="146">
        <f t="shared" si="6"/>
        <v>1.4418331000814184</v>
      </c>
    </row>
    <row r="35" spans="1:12" x14ac:dyDescent="0.25">
      <c r="A35" s="146">
        <f>I25</f>
        <v>3.2554921936477596E-8</v>
      </c>
      <c r="B35" s="5">
        <f>F25</f>
        <v>4.803411345157012E-7</v>
      </c>
      <c r="C35" s="146">
        <f t="shared" si="6"/>
        <v>-0.64343552152475858</v>
      </c>
      <c r="D35" s="146">
        <f t="shared" si="6"/>
        <v>-0.59612290660251355</v>
      </c>
      <c r="E35" s="146">
        <f t="shared" si="6"/>
        <v>-0.40044273567827782</v>
      </c>
      <c r="F35" s="146">
        <f t="shared" si="6"/>
        <v>0</v>
      </c>
      <c r="G35" s="146">
        <f t="shared" si="6"/>
        <v>1.0418694040406342</v>
      </c>
    </row>
    <row r="36" spans="1:12" x14ac:dyDescent="0.25">
      <c r="A36" s="146">
        <f>I26</f>
        <v>3.2831636256481724E-8</v>
      </c>
      <c r="B36" s="5">
        <f>F26</f>
        <v>5.2851268813833347E-7</v>
      </c>
      <c r="C36" s="146">
        <f t="shared" si="6"/>
        <v>-1.68443031851666</v>
      </c>
      <c r="D36" s="146">
        <f t="shared" si="6"/>
        <v>-1.6372004769287554</v>
      </c>
      <c r="E36" s="146">
        <f t="shared" si="6"/>
        <v>-1.4418331000814184</v>
      </c>
      <c r="F36" s="146">
        <f t="shared" si="6"/>
        <v>-1.0418694040406342</v>
      </c>
      <c r="G36" s="146">
        <f t="shared" si="6"/>
        <v>0</v>
      </c>
    </row>
    <row r="39" spans="1:12" x14ac:dyDescent="0.25">
      <c r="A39" s="146" t="s">
        <v>7</v>
      </c>
    </row>
    <row r="40" spans="1:12" x14ac:dyDescent="0.25">
      <c r="B40" s="146" t="s">
        <v>36</v>
      </c>
      <c r="C40" s="146" t="s">
        <v>27</v>
      </c>
      <c r="D40" s="146" t="s">
        <v>24</v>
      </c>
      <c r="E40" s="146" t="s">
        <v>29</v>
      </c>
      <c r="F40" s="146" t="s">
        <v>37</v>
      </c>
      <c r="G40" s="146" t="s">
        <v>39</v>
      </c>
      <c r="H40" s="146" t="s">
        <v>40</v>
      </c>
      <c r="I40" s="146" t="s">
        <v>41</v>
      </c>
      <c r="J40" s="146" t="s">
        <v>42</v>
      </c>
      <c r="K40" s="146" t="s">
        <v>2</v>
      </c>
      <c r="L40" s="146" t="s">
        <v>43</v>
      </c>
    </row>
    <row r="41" spans="1:12" x14ac:dyDescent="0.25">
      <c r="A41" s="151">
        <v>1</v>
      </c>
      <c r="B41" s="153">
        <v>108.85</v>
      </c>
      <c r="C41" s="146">
        <f>B41-B26</f>
        <v>15.599999999999994</v>
      </c>
      <c r="D41" s="147">
        <f>$B$12/C41</f>
        <v>3.2051282051282065E-5</v>
      </c>
      <c r="E41" s="147">
        <f>SQRT(2)*D41*$B$13/C41</f>
        <v>7.2639996423667416E-7</v>
      </c>
      <c r="F41" s="147">
        <f>(4*PI()/3)*$F$27^3*($B$9-$B$8)*($B$6/$E$18)*(1+ABS(D41)/$D$27)</f>
        <v>3.1313544036288778E-16</v>
      </c>
      <c r="G41" s="147">
        <f>F41*3/$F$27</f>
        <v>1.9781192587071293E-9</v>
      </c>
      <c r="H41" s="147">
        <f>F41/$E$18</f>
        <v>1.1899146733789734E-17</v>
      </c>
      <c r="I41" s="146">
        <f>(4*PI()/3)*$F$27^3*($B$9-$B$8)*($B$6/$E$18)*(1/$D$27)</f>
        <v>5.2910102388206858E-12</v>
      </c>
      <c r="J41" s="147">
        <f>(4*PI()/3)*$F$27^3*($B$9-$B$8)*($B$6/$E$18)*(ABS(D41)/$D$27^2)</f>
        <v>6.2504895198677596E-12</v>
      </c>
      <c r="K41" s="146">
        <f>SQRT(G41^2*$I$27^2+H41^2*$F$18^2+I41^2*E41^2+J41^2*$E$28^2)</f>
        <v>6.463007672792216E-17</v>
      </c>
      <c r="L41" s="150">
        <f>K41/F41</f>
        <v>0.20639655687974306</v>
      </c>
    </row>
    <row r="42" spans="1:12" x14ac:dyDescent="0.25">
      <c r="A42" s="151">
        <v>2</v>
      </c>
      <c r="B42" s="153">
        <v>124.19</v>
      </c>
      <c r="C42" s="146">
        <f>B42-B41</f>
        <v>15.340000000000003</v>
      </c>
      <c r="D42" s="147">
        <f t="shared" ref="D42:D45" si="7">$B$12/C42</f>
        <v>3.2594524119947841E-5</v>
      </c>
      <c r="E42" s="147">
        <f t="shared" ref="E42:E44" si="8">SQRT(2)*D42*$B$13/C42</f>
        <v>7.5123236749555408E-7</v>
      </c>
      <c r="F42" s="147">
        <f t="shared" ref="F42:F45" si="9">(4*PI()/3)*$F$27^3*($B$9-$B$8)*($B$6/$E$18)*(1+ABS(D42)/$D$27)</f>
        <v>3.1600973971035658E-16</v>
      </c>
      <c r="G42" s="147">
        <f t="shared" ref="G42:G45" si="10">F42*3/$F$27</f>
        <v>1.9962765994665407E-9</v>
      </c>
      <c r="H42" s="147">
        <f t="shared" ref="H42:H45" si="11">F42/$E$18</f>
        <v>1.2008370108993549E-17</v>
      </c>
      <c r="I42" s="146">
        <f t="shared" ref="I42:I45" si="12">(4*PI()/3)*$F$27^3*($B$9-$B$8)*($B$6/$E$18)*(1/$D$27)</f>
        <v>5.2910102388206858E-12</v>
      </c>
      <c r="J42" s="147">
        <f t="shared" ref="J42:J45" si="13">(4*PI()/3)*$F$27^3*($B$9-$B$8)*($B$6/$E$18)*(ABS(D42)/$D$27^2)</f>
        <v>6.3564300202044974E-12</v>
      </c>
      <c r="K42" s="146">
        <f t="shared" ref="K42:K45" si="14">SQRT(G42^2*$I$27^2+H42^2*$F$18^2+I42^2*E42^2+J42^2*$E$28^2)</f>
        <v>6.5230669870908538E-17</v>
      </c>
      <c r="L42" s="150">
        <f t="shared" ref="L42:L45" si="15">K42/F42</f>
        <v>0.2064198082334319</v>
      </c>
    </row>
    <row r="43" spans="1:12" x14ac:dyDescent="0.25">
      <c r="A43" s="151">
        <v>3</v>
      </c>
      <c r="B43" s="153">
        <v>139.16999999999999</v>
      </c>
      <c r="C43" s="146">
        <f>B43-B42</f>
        <v>14.97999999999999</v>
      </c>
      <c r="D43" s="147">
        <f t="shared" si="7"/>
        <v>3.3377837116154894E-5</v>
      </c>
      <c r="E43" s="147">
        <f t="shared" si="8"/>
        <v>7.8777353024610078E-7</v>
      </c>
      <c r="F43" s="147">
        <f t="shared" si="9"/>
        <v>3.2015425679348938E-16</v>
      </c>
      <c r="G43" s="147">
        <f t="shared" si="10"/>
        <v>2.0224580787992049E-9</v>
      </c>
      <c r="H43" s="147">
        <f t="shared" si="11"/>
        <v>1.2165861758152596E-17</v>
      </c>
      <c r="I43" s="146">
        <f t="shared" si="12"/>
        <v>5.2910102388206858E-12</v>
      </c>
      <c r="J43" s="147">
        <f t="shared" si="13"/>
        <v>6.5091880180198317E-12</v>
      </c>
      <c r="K43" s="146">
        <f t="shared" si="14"/>
        <v>6.6097186710950599E-17</v>
      </c>
      <c r="L43" s="150">
        <f t="shared" si="15"/>
        <v>0.20645418671907767</v>
      </c>
    </row>
    <row r="44" spans="1:12" x14ac:dyDescent="0.25">
      <c r="A44" s="151">
        <v>4</v>
      </c>
      <c r="B44" s="153">
        <v>155.01</v>
      </c>
      <c r="C44" s="146">
        <f>B44-B43</f>
        <v>15.840000000000003</v>
      </c>
      <c r="D44" s="147">
        <f t="shared" si="7"/>
        <v>3.1565656565656559E-5</v>
      </c>
      <c r="E44" s="147">
        <f t="shared" si="8"/>
        <v>7.0455460259411035E-7</v>
      </c>
      <c r="F44" s="147">
        <f t="shared" si="9"/>
        <v>3.1056599094621101E-16</v>
      </c>
      <c r="G44" s="147">
        <f t="shared" si="10"/>
        <v>1.9618876965131089E-9</v>
      </c>
      <c r="H44" s="147">
        <f t="shared" si="11"/>
        <v>1.1801507655956018E-17</v>
      </c>
      <c r="I44" s="146">
        <f t="shared" si="12"/>
        <v>5.2910102388206858E-12</v>
      </c>
      <c r="J44" s="147">
        <f t="shared" si="13"/>
        <v>6.1557851332030924E-12</v>
      </c>
      <c r="K44" s="146">
        <f t="shared" si="14"/>
        <v>6.4093421965458431E-17</v>
      </c>
      <c r="L44" s="150">
        <f t="shared" si="15"/>
        <v>0.20637617715379272</v>
      </c>
    </row>
    <row r="45" spans="1:12" x14ac:dyDescent="0.25">
      <c r="A45" s="151">
        <v>5</v>
      </c>
      <c r="B45" s="153">
        <v>170.73</v>
      </c>
      <c r="C45" s="146">
        <f>B45-B44</f>
        <v>15.719999999999999</v>
      </c>
      <c r="D45" s="147">
        <f t="shared" si="7"/>
        <v>3.1806615776081425E-5</v>
      </c>
      <c r="E45" s="147">
        <f>SQRT(2)*D45*$B$13/C45</f>
        <v>7.1535221698034995E-7</v>
      </c>
      <c r="F45" s="147">
        <f t="shared" si="9"/>
        <v>3.1184090859570708E-16</v>
      </c>
      <c r="G45" s="147">
        <f t="shared" si="10"/>
        <v>1.9699415250826606E-9</v>
      </c>
      <c r="H45" s="147">
        <f t="shared" si="11"/>
        <v>1.1849954526636868E-17</v>
      </c>
      <c r="I45" s="146">
        <f t="shared" si="12"/>
        <v>5.2910102388206858E-12</v>
      </c>
      <c r="J45" s="147">
        <f t="shared" si="13"/>
        <v>6.2027758594107514E-12</v>
      </c>
      <c r="K45" s="146">
        <f t="shared" si="14"/>
        <v>6.4359673097893775E-17</v>
      </c>
      <c r="L45" s="150">
        <f t="shared" si="15"/>
        <v>0.2063862415862002</v>
      </c>
    </row>
    <row r="46" spans="1:12" x14ac:dyDescent="0.25">
      <c r="L46" s="150"/>
    </row>
    <row r="47" spans="1:12" x14ac:dyDescent="0.25">
      <c r="L47" s="150"/>
    </row>
    <row r="49" spans="1:12" x14ac:dyDescent="0.25">
      <c r="A49" s="146" t="s">
        <v>7</v>
      </c>
    </row>
    <row r="50" spans="1:12" x14ac:dyDescent="0.25">
      <c r="B50" s="146" t="s">
        <v>23</v>
      </c>
      <c r="C50" s="146" t="s">
        <v>27</v>
      </c>
      <c r="D50" s="146" t="s">
        <v>24</v>
      </c>
      <c r="E50" s="146" t="s">
        <v>29</v>
      </c>
      <c r="F50" s="146" t="s">
        <v>37</v>
      </c>
      <c r="G50" s="146" t="s">
        <v>39</v>
      </c>
      <c r="H50" s="146" t="s">
        <v>40</v>
      </c>
      <c r="I50" s="146" t="s">
        <v>41</v>
      </c>
      <c r="J50" s="146" t="s">
        <v>42</v>
      </c>
      <c r="K50" s="146" t="s">
        <v>2</v>
      </c>
      <c r="L50" s="146" t="s">
        <v>43</v>
      </c>
    </row>
    <row r="51" spans="1:12" x14ac:dyDescent="0.25">
      <c r="A51" s="151">
        <v>6</v>
      </c>
      <c r="B51" s="154">
        <v>177.85</v>
      </c>
      <c r="C51" s="146">
        <f>B51-B45</f>
        <v>7.1200000000000045</v>
      </c>
      <c r="D51" s="147">
        <f>$B$12/C51</f>
        <v>7.0224719101123547E-5</v>
      </c>
      <c r="E51" s="147">
        <f>SQRT(2)*D51*$B$13/C51</f>
        <v>3.4871049918065241E-6</v>
      </c>
      <c r="F51" s="147">
        <f>-(4*PI()/3)*$F$27^3*($B$9-$B$8)*($B$6/$E$18)*(1-ABS(D51)/$D$27)</f>
        <v>2.2800792892012654E-16</v>
      </c>
      <c r="G51" s="147">
        <f>F51*3/$F$27</f>
        <v>1.4403571656154297E-9</v>
      </c>
      <c r="H51" s="147">
        <f>F51/$E$18</f>
        <v>8.6643012989648082E-18</v>
      </c>
      <c r="I51" s="146">
        <f>-(4*PI()/3)*$F$27^3*($B$9-$B$8)*($B$6/$E$18)*(-1/$D$27)</f>
        <v>5.2910102388206858E-12</v>
      </c>
      <c r="J51" s="147">
        <f>-(4*PI()/3)*$F$27^3*($B$9-$B$8)*($B$6/$E$18)*(-ABS(D51)/$D$27^2)</f>
        <v>1.3694892768249571E-11</v>
      </c>
      <c r="K51" s="146">
        <f>SQRT(G51^2*$I$27^2+H51^2*$F$18^2+I51^2*E51^2+J51^2*$E$28^2)</f>
        <v>5.1014651891671629E-17</v>
      </c>
      <c r="L51" s="150">
        <f>K51/F51</f>
        <v>0.22374069241049319</v>
      </c>
    </row>
    <row r="52" spans="1:12" x14ac:dyDescent="0.25">
      <c r="A52" s="151">
        <v>7</v>
      </c>
      <c r="B52" s="154">
        <v>183.46</v>
      </c>
      <c r="C52" s="146">
        <f>B52-B51</f>
        <v>5.6100000000000136</v>
      </c>
      <c r="D52" s="147">
        <f t="shared" ref="D52:D55" si="16">$B$12/C52</f>
        <v>8.912655971479479E-5</v>
      </c>
      <c r="E52" s="147">
        <f t="shared" ref="E52:E54" si="17">SQRT(2)*D52*$B$13/C52</f>
        <v>5.6169335791585573E-6</v>
      </c>
      <c r="F52" s="147">
        <f t="shared" ref="F52:F55" si="18">-(4*PI()/3)*$F$27^3*($B$9-$B$8)*($B$6/$E$18)*(1-ABS(D52)/$D$27)</f>
        <v>3.2801776113961776E-16</v>
      </c>
      <c r="G52" s="147">
        <f t="shared" ref="G52:G55" si="19">F52*3/$F$27</f>
        <v>2.0721329075888726E-9</v>
      </c>
      <c r="H52" s="147">
        <f t="shared" ref="H52:H55" si="20">F52/$E$18</f>
        <v>1.2464674923305474E-17</v>
      </c>
      <c r="I52" s="146">
        <f t="shared" ref="I52:I55" si="21">-(4*PI()/3)*$F$27^3*($B$9-$B$8)*($B$6/$E$18)*(-1/$D$27)</f>
        <v>5.2910102388206858E-12</v>
      </c>
      <c r="J52" s="147">
        <f t="shared" ref="J52:J55" si="22">-(4*PI()/3)*$F$27^3*($B$9-$B$8)*($B$6/$E$18)*(-ABS(D52)/$D$27^2)</f>
        <v>1.7381040376102812E-11</v>
      </c>
      <c r="K52" s="146">
        <f t="shared" ref="K52:K55" si="23">SQRT(G52^2*$I$27^2+H52^2*$F$18^2+I52^2*E52^2+J52^2*$E$28^2)</f>
        <v>7.4407120896219413E-17</v>
      </c>
      <c r="L52" s="150">
        <f t="shared" ref="L52:L55" si="24">K52/F52</f>
        <v>0.22683869506855361</v>
      </c>
    </row>
    <row r="53" spans="1:12" x14ac:dyDescent="0.25">
      <c r="A53" s="151">
        <v>8</v>
      </c>
      <c r="B53" s="154">
        <v>188.85</v>
      </c>
      <c r="C53" s="146">
        <f>B53-B52</f>
        <v>5.3899999999999864</v>
      </c>
      <c r="D53" s="147">
        <f t="shared" si="16"/>
        <v>9.2764378478664433E-5</v>
      </c>
      <c r="E53" s="147">
        <f t="shared" si="17"/>
        <v>6.0848164262355495E-6</v>
      </c>
      <c r="F53" s="147">
        <f t="shared" si="18"/>
        <v>3.472654974662261E-16</v>
      </c>
      <c r="G53" s="147">
        <f t="shared" si="19"/>
        <v>2.1937234815272843E-9</v>
      </c>
      <c r="H53" s="147">
        <f t="shared" si="20"/>
        <v>1.3196088903716591E-17</v>
      </c>
      <c r="I53" s="146">
        <f t="shared" si="21"/>
        <v>5.2910102388206858E-12</v>
      </c>
      <c r="J53" s="147">
        <f t="shared" si="22"/>
        <v>1.809047059553567E-11</v>
      </c>
      <c r="K53" s="146">
        <f t="shared" si="23"/>
        <v>7.9044604862222024E-17</v>
      </c>
      <c r="L53" s="150">
        <f t="shared" si="24"/>
        <v>0.22762009309580097</v>
      </c>
    </row>
    <row r="54" spans="1:12" x14ac:dyDescent="0.25">
      <c r="A54" s="151">
        <v>9</v>
      </c>
      <c r="B54" s="154">
        <v>194.44</v>
      </c>
      <c r="C54" s="146">
        <f>B54-B53</f>
        <v>5.5900000000000034</v>
      </c>
      <c r="D54" s="147">
        <f t="shared" si="16"/>
        <v>8.9445438282647528E-5</v>
      </c>
      <c r="E54" s="147">
        <f t="shared" si="17"/>
        <v>5.6571982071433686E-6</v>
      </c>
      <c r="F54" s="147">
        <f t="shared" si="18"/>
        <v>3.2970495090706709E-16</v>
      </c>
      <c r="G54" s="147">
        <f t="shared" si="19"/>
        <v>2.0827911153222978E-9</v>
      </c>
      <c r="H54" s="147">
        <f t="shared" si="20"/>
        <v>1.2528788134468548E-17</v>
      </c>
      <c r="I54" s="146">
        <f t="shared" si="21"/>
        <v>5.2910102388206858E-12</v>
      </c>
      <c r="J54" s="147">
        <f t="shared" si="22"/>
        <v>1.7443226567072798E-11</v>
      </c>
      <c r="K54" s="146">
        <f t="shared" si="23"/>
        <v>7.4811793104976146E-17</v>
      </c>
      <c r="L54" s="150">
        <f t="shared" si="24"/>
        <v>0.22690527666981597</v>
      </c>
    </row>
    <row r="55" spans="1:12" x14ac:dyDescent="0.25">
      <c r="A55" s="151">
        <v>10</v>
      </c>
      <c r="B55" s="154">
        <v>200.28</v>
      </c>
      <c r="C55" s="146">
        <f>B55-B54</f>
        <v>5.8400000000000034</v>
      </c>
      <c r="D55" s="147">
        <f t="shared" si="16"/>
        <v>8.561643835616433E-5</v>
      </c>
      <c r="E55" s="147">
        <f>SQRT(2)*D55*$B$13/C55</f>
        <v>5.1832161081064892E-6</v>
      </c>
      <c r="F55" s="147">
        <f t="shared" si="18"/>
        <v>3.0944567309160083E-16</v>
      </c>
      <c r="G55" s="147">
        <f t="shared" si="19"/>
        <v>1.9548104959205805E-9</v>
      </c>
      <c r="H55" s="147">
        <f t="shared" si="20"/>
        <v>1.1758935577480831E-17</v>
      </c>
      <c r="I55" s="146">
        <f t="shared" si="21"/>
        <v>5.2910102388206858E-12</v>
      </c>
      <c r="J55" s="147">
        <f t="shared" si="22"/>
        <v>1.66965131010166E-11</v>
      </c>
      <c r="K55" s="146">
        <f t="shared" si="23"/>
        <v>6.9975481518072111E-17</v>
      </c>
      <c r="L55" s="150">
        <f t="shared" si="24"/>
        <v>0.22613171746420982</v>
      </c>
    </row>
    <row r="56" spans="1:12" x14ac:dyDescent="0.25">
      <c r="L56" s="150"/>
    </row>
    <row r="57" spans="1:12" x14ac:dyDescent="0.25">
      <c r="L57" s="150"/>
    </row>
    <row r="59" spans="1:12" x14ac:dyDescent="0.25">
      <c r="B59" s="146" t="s">
        <v>38</v>
      </c>
    </row>
    <row r="60" spans="1:12" x14ac:dyDescent="0.25">
      <c r="A60" s="147"/>
      <c r="B60" s="146" t="s">
        <v>44</v>
      </c>
      <c r="C60" s="146" t="s">
        <v>45</v>
      </c>
    </row>
    <row r="61" spans="1:12" x14ac:dyDescent="0.25">
      <c r="A61" s="146">
        <v>1</v>
      </c>
      <c r="B61" s="147">
        <f>F41</f>
        <v>3.1313544036288778E-16</v>
      </c>
      <c r="C61" s="146">
        <f>K41</f>
        <v>6.463007672792216E-17</v>
      </c>
    </row>
    <row r="62" spans="1:12" x14ac:dyDescent="0.25">
      <c r="A62" s="146">
        <v>2</v>
      </c>
      <c r="B62" s="147">
        <f t="shared" ref="B62:B65" si="25">F42</f>
        <v>3.1600973971035658E-16</v>
      </c>
      <c r="C62" s="146">
        <f t="shared" ref="C62:C65" si="26">K42</f>
        <v>6.5230669870908538E-17</v>
      </c>
    </row>
    <row r="63" spans="1:12" x14ac:dyDescent="0.25">
      <c r="A63" s="146">
        <v>3</v>
      </c>
      <c r="B63" s="147">
        <f t="shared" si="25"/>
        <v>3.2015425679348938E-16</v>
      </c>
      <c r="C63" s="146">
        <f t="shared" si="26"/>
        <v>6.6097186710950599E-17</v>
      </c>
    </row>
    <row r="64" spans="1:12" x14ac:dyDescent="0.25">
      <c r="A64" s="146">
        <v>4</v>
      </c>
      <c r="B64" s="147">
        <f t="shared" si="25"/>
        <v>3.1056599094621101E-16</v>
      </c>
      <c r="C64" s="146">
        <f t="shared" si="26"/>
        <v>6.4093421965458431E-17</v>
      </c>
    </row>
    <row r="65" spans="1:3" x14ac:dyDescent="0.25">
      <c r="A65" s="146">
        <v>5</v>
      </c>
      <c r="B65" s="147">
        <f t="shared" si="25"/>
        <v>3.1184090859570708E-16</v>
      </c>
      <c r="C65" s="146">
        <f t="shared" si="26"/>
        <v>6.4359673097893775E-17</v>
      </c>
    </row>
    <row r="66" spans="1:3" x14ac:dyDescent="0.25">
      <c r="A66" s="146">
        <v>6</v>
      </c>
      <c r="B66" s="147">
        <f>F51</f>
        <v>2.2800792892012654E-16</v>
      </c>
      <c r="C66" s="146">
        <f>K51</f>
        <v>5.1014651891671629E-17</v>
      </c>
    </row>
    <row r="67" spans="1:3" x14ac:dyDescent="0.25">
      <c r="A67" s="146">
        <v>7</v>
      </c>
      <c r="B67" s="147">
        <f t="shared" ref="B67:B70" si="27">F52</f>
        <v>3.2801776113961776E-16</v>
      </c>
      <c r="C67" s="146">
        <f t="shared" ref="C67:C70" si="28">K52</f>
        <v>7.4407120896219413E-17</v>
      </c>
    </row>
    <row r="68" spans="1:3" x14ac:dyDescent="0.25">
      <c r="A68" s="146">
        <v>8</v>
      </c>
      <c r="B68" s="147">
        <f t="shared" si="27"/>
        <v>3.472654974662261E-16</v>
      </c>
      <c r="C68" s="146">
        <f t="shared" si="28"/>
        <v>7.9044604862222024E-17</v>
      </c>
    </row>
    <row r="69" spans="1:3" x14ac:dyDescent="0.25">
      <c r="A69" s="146">
        <v>9</v>
      </c>
      <c r="B69" s="147">
        <f t="shared" si="27"/>
        <v>3.2970495090706709E-16</v>
      </c>
      <c r="C69" s="146">
        <f t="shared" si="28"/>
        <v>7.4811793104976146E-17</v>
      </c>
    </row>
    <row r="70" spans="1:3" x14ac:dyDescent="0.25">
      <c r="A70" s="146">
        <v>10</v>
      </c>
      <c r="B70" s="147">
        <f t="shared" si="27"/>
        <v>3.0944567309160083E-16</v>
      </c>
      <c r="C70" s="146">
        <f t="shared" si="28"/>
        <v>6.9975481518072111E-17</v>
      </c>
    </row>
  </sheetData>
  <mergeCells count="2">
    <mergeCell ref="A1:C2"/>
    <mergeCell ref="A14:C15"/>
  </mergeCells>
  <conditionalFormatting sqref="C32:G36">
    <cfRule type="cellIs" dxfId="14" priority="5" operator="notBetween">
      <formula>-1.96</formula>
      <formula>1.96</formula>
    </cfRule>
  </conditionalFormatting>
  <conditionalFormatting sqref="L41:L47">
    <cfRule type="cellIs" priority="4" operator="greaterThan">
      <formula>0.04</formula>
    </cfRule>
  </conditionalFormatting>
  <conditionalFormatting sqref="L51:L57">
    <cfRule type="cellIs" priority="2" operator="greaterThan">
      <formula>0.04</formula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3" operator="greaterThan" id="{9231413D-8295-4AED-B253-B4E196C19934}">
            <xm:f>Dati!$B$14</xm:f>
            <x14:dxf>
              <fill>
                <patternFill>
                  <bgColor theme="5"/>
                </patternFill>
              </fill>
            </x14:dxf>
          </x14:cfRule>
          <xm:sqref>L41:L47</xm:sqref>
        </x14:conditionalFormatting>
        <x14:conditionalFormatting xmlns:xm="http://schemas.microsoft.com/office/excel/2006/main">
          <x14:cfRule type="cellIs" priority="1" operator="greaterThan" id="{93AEEF0B-A21F-4EB5-995E-7C9C46045D7D}">
            <xm:f>Dati!$B$14</xm:f>
            <x14:dxf>
              <fill>
                <patternFill>
                  <bgColor theme="5"/>
                </patternFill>
              </fill>
            </x14:dxf>
          </x14:cfRule>
          <xm:sqref>L51:L57</xm:sqref>
        </x14:conditionalFormatting>
      </x14:conditionalFormatting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topLeftCell="A4" workbookViewId="0">
      <selection activeCell="B51" sqref="B51:B55"/>
    </sheetView>
  </sheetViews>
  <sheetFormatPr defaultRowHeight="15" x14ac:dyDescent="0.25"/>
  <cols>
    <col min="1" max="1" width="13.140625" style="154" customWidth="1"/>
    <col min="2" max="2" width="9.140625" style="154"/>
    <col min="3" max="5" width="12" style="154" customWidth="1"/>
    <col min="6" max="7" width="12.140625" style="154" customWidth="1"/>
    <col min="8" max="9" width="12" style="154" customWidth="1"/>
    <col min="10" max="10" width="9.140625" style="154"/>
    <col min="11" max="11" width="12" style="154" customWidth="1"/>
    <col min="12" max="16384" width="9.140625" style="154"/>
  </cols>
  <sheetData>
    <row r="1" spans="1:5" x14ac:dyDescent="0.25">
      <c r="A1" s="187" t="str">
        <f>[1]Dati!A1</f>
        <v>Costanti varie</v>
      </c>
      <c r="B1" s="187"/>
      <c r="C1" s="187"/>
    </row>
    <row r="2" spans="1:5" x14ac:dyDescent="0.25">
      <c r="A2" s="187"/>
      <c r="B2" s="187"/>
      <c r="C2" s="187"/>
    </row>
    <row r="4" spans="1:5" x14ac:dyDescent="0.25">
      <c r="B4" s="154" t="s">
        <v>1</v>
      </c>
      <c r="C4" s="154" t="s">
        <v>2</v>
      </c>
    </row>
    <row r="5" spans="1:5" x14ac:dyDescent="0.25">
      <c r="A5" s="154" t="str">
        <f>[1]Dati!A5</f>
        <v>d</v>
      </c>
      <c r="B5" s="155">
        <v>7.6</v>
      </c>
      <c r="C5" s="154">
        <f>[1]Dati!C5</f>
        <v>1.0000000000000001E-5</v>
      </c>
    </row>
    <row r="6" spans="1:5" x14ac:dyDescent="0.25">
      <c r="A6" s="154" t="str">
        <f>[1]Dati!A6</f>
        <v>g</v>
      </c>
      <c r="B6" s="154">
        <f>[1]Dati!B6</f>
        <v>9.8059999999999992</v>
      </c>
      <c r="C6" s="154">
        <f>[1]Dati!C6</f>
        <v>0</v>
      </c>
    </row>
    <row r="7" spans="1:5" x14ac:dyDescent="0.25">
      <c r="A7" s="154" t="str">
        <f>[1]Dati!A7</f>
        <v>pressione</v>
      </c>
      <c r="B7" s="154">
        <f>[1]Dati!B7</f>
        <v>101325</v>
      </c>
      <c r="C7" s="154">
        <f>[1]Dati!C7</f>
        <v>0</v>
      </c>
    </row>
    <row r="8" spans="1:5" x14ac:dyDescent="0.25">
      <c r="A8" s="154" t="str">
        <f>[1]Dati!A8</f>
        <v>densità aria</v>
      </c>
      <c r="B8" s="154">
        <v>0</v>
      </c>
      <c r="C8" s="154">
        <f>[1]Dati!C8</f>
        <v>0</v>
      </c>
    </row>
    <row r="9" spans="1:5" x14ac:dyDescent="0.25">
      <c r="A9" s="154" t="str">
        <f>[1]Dati!A9</f>
        <v>densità olio</v>
      </c>
      <c r="B9" s="154">
        <v>858.7</v>
      </c>
      <c r="C9" s="154">
        <f>[1]Dati!C9</f>
        <v>0</v>
      </c>
    </row>
    <row r="10" spans="1:5" x14ac:dyDescent="0.25">
      <c r="A10" s="154" t="str">
        <f>[1]Dati!A10</f>
        <v>cst corr vis</v>
      </c>
      <c r="B10" s="154">
        <f>[1]Dati!B10</f>
        <v>8.2000000000000007E-3</v>
      </c>
      <c r="C10" s="154">
        <f>[1]Dati!C10</f>
        <v>0</v>
      </c>
    </row>
    <row r="11" spans="1:5" x14ac:dyDescent="0.25">
      <c r="A11" s="154" t="str">
        <f>[1]Dati!A11</f>
        <v>e</v>
      </c>
      <c r="B11" s="154">
        <f>[1]Dati!B11</f>
        <v>1.6021766200000001E-19</v>
      </c>
      <c r="C11" s="154">
        <f>[1]Dati!C11</f>
        <v>0</v>
      </c>
    </row>
    <row r="12" spans="1:5" x14ac:dyDescent="0.25">
      <c r="A12" s="154" t="str">
        <f>[1]Dati!A12</f>
        <v>deltax</v>
      </c>
      <c r="B12" s="154">
        <f>[1]Dati!B12</f>
        <v>5.0000000000000001E-4</v>
      </c>
      <c r="C12" s="154">
        <f>[1]Dati!C12</f>
        <v>0</v>
      </c>
    </row>
    <row r="13" spans="1:5" x14ac:dyDescent="0.25">
      <c r="A13" s="154" t="s">
        <v>30</v>
      </c>
      <c r="B13" s="154">
        <f>Dati!B13</f>
        <v>0.25</v>
      </c>
    </row>
    <row r="14" spans="1:5" x14ac:dyDescent="0.25">
      <c r="A14" s="187" t="s">
        <v>17</v>
      </c>
      <c r="B14" s="187"/>
      <c r="C14" s="187"/>
      <c r="D14" s="157"/>
    </row>
    <row r="15" spans="1:5" x14ac:dyDescent="0.25">
      <c r="A15" s="187"/>
      <c r="B15" s="187"/>
      <c r="C15" s="187"/>
      <c r="D15" s="157"/>
    </row>
    <row r="16" spans="1:5" x14ac:dyDescent="0.25">
      <c r="A16" s="154" t="s">
        <v>18</v>
      </c>
      <c r="B16" s="154">
        <v>200</v>
      </c>
      <c r="C16" s="154">
        <f>B16/100</f>
        <v>2</v>
      </c>
      <c r="D16" s="154" t="s">
        <v>19</v>
      </c>
      <c r="E16" s="154">
        <f>(1.8+(B18-15)*0.004765)*0.00001</f>
        <v>1.8285900000000001E-5</v>
      </c>
    </row>
    <row r="17" spans="1:10" x14ac:dyDescent="0.25">
      <c r="A17" s="154" t="s">
        <v>20</v>
      </c>
      <c r="E17" s="156"/>
    </row>
    <row r="18" spans="1:10" x14ac:dyDescent="0.25">
      <c r="A18" s="154" t="s">
        <v>21</v>
      </c>
      <c r="B18" s="154">
        <v>21</v>
      </c>
      <c r="C18" s="154">
        <v>0.5</v>
      </c>
      <c r="D18" s="154" t="s">
        <v>22</v>
      </c>
      <c r="E18" s="155">
        <f>B16/B5</f>
        <v>26.315789473684212</v>
      </c>
      <c r="F18" s="154">
        <f>SQRT((C16/B5)^2+(B16*C5/B5^2)^2)</f>
        <v>0.26315789701487097</v>
      </c>
      <c r="G18" s="155"/>
    </row>
    <row r="21" spans="1:10" x14ac:dyDescent="0.25">
      <c r="B21" s="154" t="s">
        <v>23</v>
      </c>
      <c r="C21" s="154" t="s">
        <v>27</v>
      </c>
      <c r="D21" s="154" t="s">
        <v>24</v>
      </c>
      <c r="E21" s="154" t="s">
        <v>29</v>
      </c>
      <c r="F21" s="154" t="s">
        <v>25</v>
      </c>
      <c r="G21" s="154" t="s">
        <v>26</v>
      </c>
      <c r="H21" s="154" t="s">
        <v>28</v>
      </c>
      <c r="I21" s="154" t="s">
        <v>31</v>
      </c>
      <c r="J21" s="154" t="s">
        <v>32</v>
      </c>
    </row>
    <row r="22" spans="1:10" x14ac:dyDescent="0.25">
      <c r="A22" s="154">
        <v>1</v>
      </c>
      <c r="B22" s="160">
        <v>16.434999999999999</v>
      </c>
      <c r="C22" s="154">
        <f>B22</f>
        <v>16.434999999999999</v>
      </c>
      <c r="D22" s="155">
        <f>B12/B22</f>
        <v>3.0422878004259206E-5</v>
      </c>
      <c r="E22" s="155">
        <f>SQRT(2)*D22*$B$13/C22</f>
        <v>6.5446374627388951E-7</v>
      </c>
      <c r="F22" s="5">
        <f>(($B$10/(2*$B$7))^2+9*$E$16*D22/(2*$B$6*($B$9-$B$8)))^(1/2)-$B$10/(2*$B$7)</f>
        <v>5.062883130590944E-7</v>
      </c>
      <c r="G22" s="154">
        <f>(($B$10/(2*$B$7))^2+9*$E$16*D22/(2*$B$6*($B$9-$B$8)))^(-1/2)*(9*$E$16)/(4*$B$6*$B$9)</f>
        <v>8.9366550293201868E-3</v>
      </c>
      <c r="H22" s="154">
        <f>(($B$10/(2*$B$7))^2+9*$E$16*D22/(2*$B$6*($B$9-$B$8)))^(-1/2)*((9*D22)/(4*$B$6*$B$9))*0.00000004765</f>
        <v>7.0847063511823076E-10</v>
      </c>
      <c r="I22" s="154">
        <f>SQRT(G22^2*E22^2+H22^2*$C$18^2+$F$28^2)</f>
        <v>3.1119534755445704E-8</v>
      </c>
      <c r="J22" s="155">
        <f>I22/F22</f>
        <v>6.1466034180041214E-2</v>
      </c>
    </row>
    <row r="23" spans="1:10" x14ac:dyDescent="0.25">
      <c r="A23" s="154">
        <v>2</v>
      </c>
      <c r="B23" s="160">
        <v>31.13</v>
      </c>
      <c r="C23" s="154">
        <f>B23-B22</f>
        <v>14.695</v>
      </c>
      <c r="D23" s="155">
        <f>$B$12/(B23-B22)</f>
        <v>3.4025178632187818E-5</v>
      </c>
      <c r="E23" s="155">
        <f t="shared" ref="E23:E25" si="0">SQRT(2)*D23*$B$13/C23</f>
        <v>8.1862655807770074E-7</v>
      </c>
      <c r="F23" s="5">
        <f>(($B$10/(2*$B$7))^2+9*E16*D23/(2*$B$6*($B$9-$B$8)))^(1/2)-$B$10/(2*$B$7)</f>
        <v>5.3758509736034591E-7</v>
      </c>
      <c r="G23" s="154">
        <f t="shared" ref="G23:G27" si="1">(($B$10/(2*$B$7))^2+9*$E$16*D23/(2*$B$6*($B$9-$B$8)))^(-1/2)*(9*$E$16)/(4*$B$6*$B$9)</f>
        <v>8.452805756347017E-3</v>
      </c>
      <c r="H23" s="154">
        <f t="shared" ref="H23:H27" si="2">(($B$10/(2*$B$7))^2+9*$E$16*D23/(2*$B$6*($B$9-$B$8)))^(-1/2)*((9*D23)/(4*$B$6*$B$9))*0.00000004765</f>
        <v>7.4945897984282092E-10</v>
      </c>
      <c r="I23" s="154">
        <f t="shared" ref="I23:I27" si="3">SQRT(G23^2*E23^2+H23^2*$C$18^2+$F$28^2)</f>
        <v>3.1338714443737594E-8</v>
      </c>
      <c r="J23" s="155">
        <f t="shared" ref="J23:J27" si="4">I23/F23</f>
        <v>5.8295355651816184E-2</v>
      </c>
    </row>
    <row r="24" spans="1:10" x14ac:dyDescent="0.25">
      <c r="A24" s="154">
        <v>3</v>
      </c>
      <c r="B24" s="160">
        <v>48.39</v>
      </c>
      <c r="C24" s="154">
        <f t="shared" ref="C24:C26" si="5">B24-B23</f>
        <v>17.260000000000002</v>
      </c>
      <c r="D24" s="155">
        <f>$B$12/(B24-B23)</f>
        <v>2.896871378910776E-5</v>
      </c>
      <c r="E24" s="155">
        <f t="shared" si="0"/>
        <v>5.933943789840771E-7</v>
      </c>
      <c r="F24" s="5">
        <f>(($B$10/(2*$B$7))^2+9*E16*D24/(2*$B$6*($B$9-$B$8)))^(1/2)-$B$10/(2*$B$7)</f>
        <v>4.9313472675573684E-7</v>
      </c>
      <c r="G24" s="154">
        <f t="shared" si="1"/>
        <v>9.1569499615879093E-3</v>
      </c>
      <c r="H24" s="154">
        <f t="shared" si="2"/>
        <v>6.9123642991418436E-10</v>
      </c>
      <c r="I24" s="154">
        <f t="shared" si="3"/>
        <v>3.1044111072619446E-8</v>
      </c>
      <c r="J24" s="155">
        <f t="shared" si="4"/>
        <v>6.2952595686891155E-2</v>
      </c>
    </row>
    <row r="25" spans="1:10" x14ac:dyDescent="0.25">
      <c r="A25" s="154">
        <v>4</v>
      </c>
      <c r="B25" s="160">
        <v>62.016500000000001</v>
      </c>
      <c r="C25" s="154">
        <f t="shared" si="5"/>
        <v>13.6265</v>
      </c>
      <c r="D25" s="155">
        <f>$B$12/(B25-B24)</f>
        <v>3.669320808718306E-5</v>
      </c>
      <c r="E25" s="155">
        <f t="shared" si="0"/>
        <v>9.5204257373266096E-7</v>
      </c>
      <c r="F25" s="5">
        <f>(($B$10/(2*$B$7))^2+9*E16*D25/(2*$B$6*($B$9-$B$8)))^(1/2)-$B$10/(2*$B$7)</f>
        <v>5.5971386722735553E-7</v>
      </c>
      <c r="G25" s="154">
        <f t="shared" si="1"/>
        <v>8.1411477478651826E-3</v>
      </c>
      <c r="H25" s="154">
        <f t="shared" si="2"/>
        <v>7.7842698868257974E-10</v>
      </c>
      <c r="I25" s="154">
        <f t="shared" si="3"/>
        <v>3.153280211883788E-8</v>
      </c>
      <c r="J25" s="155">
        <f t="shared" si="4"/>
        <v>5.6337360864474113E-2</v>
      </c>
    </row>
    <row r="26" spans="1:10" x14ac:dyDescent="0.25">
      <c r="A26" s="154">
        <v>5</v>
      </c>
      <c r="B26" s="160">
        <v>75.643000000000001</v>
      </c>
      <c r="C26" s="154">
        <f t="shared" si="5"/>
        <v>13.6265</v>
      </c>
      <c r="D26" s="155">
        <f>$B$12/(B26-B25)</f>
        <v>3.669320808718306E-5</v>
      </c>
      <c r="E26" s="155">
        <f>SQRT(2)*D26*$B$13/C26</f>
        <v>9.5204257373266096E-7</v>
      </c>
      <c r="F26" s="5">
        <f>(($B$10/(2*$B$7))^2+9*E16*D26/(2*$B$6*($B$9-$B$8)))^(1/2)-$B$10/(2*$B$7)</f>
        <v>5.5971386722735553E-7</v>
      </c>
      <c r="G26" s="154">
        <f t="shared" si="1"/>
        <v>8.1411477478651826E-3</v>
      </c>
      <c r="H26" s="154">
        <f t="shared" si="2"/>
        <v>7.7842698868257974E-10</v>
      </c>
      <c r="I26" s="154">
        <f t="shared" si="3"/>
        <v>3.153280211883788E-8</v>
      </c>
      <c r="J26" s="155">
        <f t="shared" si="4"/>
        <v>5.6337360864474113E-2</v>
      </c>
    </row>
    <row r="27" spans="1:10" x14ac:dyDescent="0.25">
      <c r="A27" s="7" t="s">
        <v>34</v>
      </c>
      <c r="B27" s="7"/>
      <c r="C27" s="7">
        <f>AVERAGE(C22:C26)</f>
        <v>15.1286</v>
      </c>
      <c r="D27" s="7">
        <f>AVERAGE(D22:D26)</f>
        <v>3.336063731998418E-5</v>
      </c>
      <c r="E27" s="8">
        <f>SQRT(2)*D27*$B$13/C27</f>
        <v>7.7963370284315225E-7</v>
      </c>
      <c r="F27" s="9">
        <f>AVERAGE(F22:F26)</f>
        <v>5.3128717432597762E-7</v>
      </c>
      <c r="G27" s="7">
        <f t="shared" si="1"/>
        <v>8.5361636403698034E-3</v>
      </c>
      <c r="H27" s="7">
        <f t="shared" si="2"/>
        <v>7.4206788269328681E-10</v>
      </c>
      <c r="I27" s="7">
        <f t="shared" si="3"/>
        <v>3.1281308170914208E-8</v>
      </c>
      <c r="J27" s="8">
        <f t="shared" si="4"/>
        <v>5.8878342415473378E-2</v>
      </c>
    </row>
    <row r="28" spans="1:10" x14ac:dyDescent="0.25">
      <c r="A28" s="154" t="s">
        <v>35</v>
      </c>
      <c r="C28" s="6">
        <f>_xlfn.STDEV.S(C22:C26)</f>
        <v>1.6545516537721028</v>
      </c>
      <c r="D28" s="155">
        <f>_xlfn.STDEV.S(D22:D26)</f>
        <v>3.5557380770592924E-6</v>
      </c>
      <c r="E28" s="8">
        <f>SQRT(2)*D28*$B$13/C28</f>
        <v>7.5980900949199292E-7</v>
      </c>
      <c r="F28" s="155">
        <f>_xlfn.STDEV.S(F22:F26)</f>
        <v>3.0562926452673713E-8</v>
      </c>
    </row>
    <row r="30" spans="1:10" x14ac:dyDescent="0.25">
      <c r="A30" s="154" t="s">
        <v>31</v>
      </c>
      <c r="C30" s="154">
        <f t="array" ref="C30:G31">TRANSPOSE(A32:B36)</f>
        <v>3.1119534755445704E-8</v>
      </c>
      <c r="D30" s="154">
        <v>3.1338714443737594E-8</v>
      </c>
      <c r="E30" s="154">
        <v>3.1044111072619446E-8</v>
      </c>
      <c r="F30" s="154">
        <v>3.153280211883788E-8</v>
      </c>
      <c r="G30" s="154">
        <v>3.153280211883788E-8</v>
      </c>
    </row>
    <row r="31" spans="1:10" x14ac:dyDescent="0.25">
      <c r="B31" s="154" t="s">
        <v>25</v>
      </c>
      <c r="C31" s="154">
        <v>5.062883130590944E-7</v>
      </c>
      <c r="D31" s="154">
        <v>5.3758509736034591E-7</v>
      </c>
      <c r="E31" s="154">
        <v>4.9313472675573684E-7</v>
      </c>
      <c r="F31" s="154">
        <v>5.5971386722735553E-7</v>
      </c>
      <c r="G31" s="154">
        <v>5.5971386722735553E-7</v>
      </c>
    </row>
    <row r="32" spans="1:10" x14ac:dyDescent="0.25">
      <c r="A32" s="154">
        <f>I22</f>
        <v>3.1119534755445704E-8</v>
      </c>
      <c r="B32" s="5">
        <f>F22</f>
        <v>5.062883130590944E-7</v>
      </c>
      <c r="C32" s="154">
        <f t="shared" ref="C32:G36" si="6">(C$31-$B32)/SQRT(C$30^2+$A32^2)</f>
        <v>0</v>
      </c>
      <c r="D32" s="154">
        <f t="shared" si="6"/>
        <v>0.70863440558925284</v>
      </c>
      <c r="E32" s="154">
        <f t="shared" si="6"/>
        <v>-0.29924188332465257</v>
      </c>
      <c r="F32" s="154">
        <f t="shared" si="6"/>
        <v>1.2059167049187505</v>
      </c>
      <c r="G32" s="154">
        <f t="shared" si="6"/>
        <v>1.2059167049187505</v>
      </c>
    </row>
    <row r="33" spans="1:12" x14ac:dyDescent="0.25">
      <c r="A33" s="154">
        <f>I23</f>
        <v>3.1338714443737594E-8</v>
      </c>
      <c r="B33" s="5">
        <f>F23</f>
        <v>5.3758509736034591E-7</v>
      </c>
      <c r="C33" s="154">
        <f t="shared" si="6"/>
        <v>-0.70863440558925284</v>
      </c>
      <c r="D33" s="154">
        <f t="shared" si="6"/>
        <v>0</v>
      </c>
      <c r="E33" s="154">
        <f t="shared" si="6"/>
        <v>-1.0076750367234475</v>
      </c>
      <c r="F33" s="154">
        <f t="shared" si="6"/>
        <v>0.49775572562166071</v>
      </c>
      <c r="G33" s="154">
        <f t="shared" si="6"/>
        <v>0.49775572562166071</v>
      </c>
    </row>
    <row r="34" spans="1:12" x14ac:dyDescent="0.25">
      <c r="A34" s="154">
        <f>I24</f>
        <v>3.1044111072619446E-8</v>
      </c>
      <c r="B34" s="5">
        <f>F24</f>
        <v>4.9313472675573684E-7</v>
      </c>
      <c r="C34" s="154">
        <f t="shared" si="6"/>
        <v>0.29924188332465257</v>
      </c>
      <c r="D34" s="154">
        <f t="shared" si="6"/>
        <v>1.0076750367234475</v>
      </c>
      <c r="E34" s="154">
        <f t="shared" si="6"/>
        <v>0</v>
      </c>
      <c r="F34" s="154">
        <f t="shared" si="6"/>
        <v>1.5046164400571365</v>
      </c>
      <c r="G34" s="154">
        <f t="shared" si="6"/>
        <v>1.5046164400571365</v>
      </c>
    </row>
    <row r="35" spans="1:12" x14ac:dyDescent="0.25">
      <c r="A35" s="154">
        <f>I25</f>
        <v>3.153280211883788E-8</v>
      </c>
      <c r="B35" s="5">
        <f>F25</f>
        <v>5.5971386722735553E-7</v>
      </c>
      <c r="C35" s="154">
        <f t="shared" si="6"/>
        <v>-1.2059167049187505</v>
      </c>
      <c r="D35" s="154">
        <f t="shared" si="6"/>
        <v>-0.49775572562166071</v>
      </c>
      <c r="E35" s="154">
        <f t="shared" si="6"/>
        <v>-1.5046164400571365</v>
      </c>
      <c r="F35" s="154">
        <f t="shared" si="6"/>
        <v>0</v>
      </c>
      <c r="G35" s="154">
        <f t="shared" si="6"/>
        <v>0</v>
      </c>
    </row>
    <row r="36" spans="1:12" x14ac:dyDescent="0.25">
      <c r="A36" s="154">
        <f>I26</f>
        <v>3.153280211883788E-8</v>
      </c>
      <c r="B36" s="5">
        <f>F26</f>
        <v>5.5971386722735553E-7</v>
      </c>
      <c r="C36" s="154">
        <f t="shared" si="6"/>
        <v>-1.2059167049187505</v>
      </c>
      <c r="D36" s="154">
        <f t="shared" si="6"/>
        <v>-0.49775572562166071</v>
      </c>
      <c r="E36" s="154">
        <f t="shared" si="6"/>
        <v>-1.5046164400571365</v>
      </c>
      <c r="F36" s="154">
        <f t="shared" si="6"/>
        <v>0</v>
      </c>
      <c r="G36" s="154">
        <f t="shared" si="6"/>
        <v>0</v>
      </c>
    </row>
    <row r="39" spans="1:12" x14ac:dyDescent="0.25">
      <c r="A39" s="154" t="s">
        <v>7</v>
      </c>
    </row>
    <row r="40" spans="1:12" x14ac:dyDescent="0.25">
      <c r="B40" s="154" t="s">
        <v>36</v>
      </c>
      <c r="C40" s="154" t="s">
        <v>27</v>
      </c>
      <c r="D40" s="154" t="s">
        <v>24</v>
      </c>
      <c r="E40" s="154" t="s">
        <v>29</v>
      </c>
      <c r="F40" s="154" t="s">
        <v>37</v>
      </c>
      <c r="G40" s="154" t="s">
        <v>39</v>
      </c>
      <c r="H40" s="154" t="s">
        <v>40</v>
      </c>
      <c r="I40" s="154" t="s">
        <v>41</v>
      </c>
      <c r="J40" s="154" t="s">
        <v>42</v>
      </c>
      <c r="K40" s="154" t="s">
        <v>2</v>
      </c>
      <c r="L40" s="154" t="s">
        <v>43</v>
      </c>
    </row>
    <row r="41" spans="1:12" x14ac:dyDescent="0.25">
      <c r="A41" s="159">
        <v>1</v>
      </c>
      <c r="B41" s="161">
        <v>78.278999999999996</v>
      </c>
      <c r="C41" s="154">
        <f>B41-B26</f>
        <v>2.6359999999999957</v>
      </c>
      <c r="D41" s="155">
        <f>$B$12/C41</f>
        <v>1.8968133535660121E-4</v>
      </c>
      <c r="E41" s="155">
        <f>SQRT(2)*D41*$B$13/C41</f>
        <v>2.5441001232013009E-5</v>
      </c>
      <c r="F41" s="155">
        <f>(4*PI()/3)*$F$27^3*($B$9-$B$8)*($B$6/$E$18)*(1+ABS(D41)/$D$27)</f>
        <v>1.3438345789764076E-15</v>
      </c>
      <c r="G41" s="155">
        <f>F41*3/$F$27</f>
        <v>7.588181932010361E-9</v>
      </c>
      <c r="H41" s="155">
        <f>F41/$E$18</f>
        <v>5.1065714001103484E-17</v>
      </c>
      <c r="I41" s="154">
        <f>(4*PI()/3)*$F$27^3*($B$9-$B$8)*($B$6/$E$18)*(1/$D$27)</f>
        <v>6.0250300104948858E-12</v>
      </c>
      <c r="J41" s="155">
        <f>(4*PI()/3)*$F$27^3*($B$9-$B$8)*($B$6/$E$18)*(ABS(D41)/$D$27^2)</f>
        <v>3.4257011549047025E-11</v>
      </c>
      <c r="K41" s="154">
        <f>SQRT(G41^2*$I$27^2+H41^2*$F$18^2+I41^2*E41^2+J41^2*$E$28^2)</f>
        <v>2.8407286393180895E-16</v>
      </c>
      <c r="L41" s="158">
        <f>K41/F41</f>
        <v>0.21138975613217656</v>
      </c>
    </row>
    <row r="42" spans="1:12" x14ac:dyDescent="0.25">
      <c r="A42" s="159">
        <v>2</v>
      </c>
      <c r="B42" s="161">
        <v>80.727999999999994</v>
      </c>
      <c r="C42" s="154">
        <f>B42-B41</f>
        <v>2.4489999999999981</v>
      </c>
      <c r="D42" s="155">
        <f t="shared" ref="D42:D45" si="7">$B$12/C42</f>
        <v>2.0416496529195607E-4</v>
      </c>
      <c r="E42" s="155">
        <f t="shared" ref="E42:E44" si="8">SQRT(2)*D42*$B$13/C42</f>
        <v>2.9474567463997219E-5</v>
      </c>
      <c r="F42" s="155">
        <f t="shared" ref="F42:F45" si="9">(4*PI()/3)*$F$27^3*($B$9-$B$8)*($B$6/$E$18)*(1+ABS(D42)/$D$27)</f>
        <v>1.4310988839978228E-15</v>
      </c>
      <c r="G42" s="155">
        <f t="shared" ref="G42:G45" si="10">F42*3/$F$27</f>
        <v>8.080934115227229E-9</v>
      </c>
      <c r="H42" s="155">
        <f t="shared" ref="H42:H45" si="11">F42/$E$18</f>
        <v>5.4381757591917259E-17</v>
      </c>
      <c r="I42" s="154">
        <f t="shared" ref="I42:I45" si="12">(4*PI()/3)*$F$27^3*($B$9-$B$8)*($B$6/$E$18)*(1/$D$27)</f>
        <v>6.0250300104948858E-12</v>
      </c>
      <c r="J42" s="155">
        <f t="shared" ref="J42:J45" si="13">(4*PI()/3)*$F$27^3*($B$9-$B$8)*($B$6/$E$18)*(ABS(D42)/$D$27^2)</f>
        <v>3.6872798057692071E-11</v>
      </c>
      <c r="K42" s="154">
        <f t="shared" ref="K42:K45" si="14">SQRT(G42^2*$I$27^2+H42^2*$F$18^2+I42^2*E42^2+J42^2*$E$28^2)</f>
        <v>3.1052381406310567E-16</v>
      </c>
      <c r="L42" s="158">
        <f t="shared" ref="L42:L45" si="15">K42/F42</f>
        <v>0.21698277983115113</v>
      </c>
    </row>
    <row r="43" spans="1:12" x14ac:dyDescent="0.25">
      <c r="A43" s="159">
        <v>3</v>
      </c>
      <c r="B43" s="161">
        <v>83.061000000000007</v>
      </c>
      <c r="C43" s="154">
        <f>B43-B42</f>
        <v>2.3330000000000126</v>
      </c>
      <c r="D43" s="155">
        <f t="shared" si="7"/>
        <v>2.1431633090441377E-4</v>
      </c>
      <c r="E43" s="155">
        <f t="shared" si="8"/>
        <v>3.2478467831446681E-5</v>
      </c>
      <c r="F43" s="155">
        <f t="shared" si="9"/>
        <v>1.4922611664603861E-15</v>
      </c>
      <c r="G43" s="155">
        <f t="shared" si="10"/>
        <v>8.4262969552402074E-9</v>
      </c>
      <c r="H43" s="155">
        <f t="shared" si="11"/>
        <v>5.6705924325494672E-17</v>
      </c>
      <c r="I43" s="154">
        <f t="shared" si="12"/>
        <v>6.0250300104948858E-12</v>
      </c>
      <c r="J43" s="155">
        <f t="shared" si="13"/>
        <v>3.8706164784949563E-11</v>
      </c>
      <c r="K43" s="154">
        <f t="shared" si="14"/>
        <v>3.2993496702697742E-16</v>
      </c>
      <c r="L43" s="158">
        <f t="shared" si="15"/>
        <v>0.22109733499905826</v>
      </c>
    </row>
    <row r="44" spans="1:12" x14ac:dyDescent="0.25">
      <c r="A44" s="159">
        <v>4</v>
      </c>
      <c r="B44" s="161">
        <v>85.65</v>
      </c>
      <c r="C44" s="154">
        <f>B44-B43</f>
        <v>2.5889999999999986</v>
      </c>
      <c r="D44" s="155">
        <f t="shared" si="7"/>
        <v>1.9312475859405186E-4</v>
      </c>
      <c r="E44" s="155">
        <f t="shared" si="8"/>
        <v>2.6373083510403463E-5</v>
      </c>
      <c r="F44" s="155">
        <f t="shared" si="9"/>
        <v>1.364581307320883E-15</v>
      </c>
      <c r="G44" s="155">
        <f t="shared" si="10"/>
        <v>7.7053317297866548E-9</v>
      </c>
      <c r="H44" s="155">
        <f t="shared" si="11"/>
        <v>5.1854089678193547E-17</v>
      </c>
      <c r="I44" s="154">
        <f t="shared" si="12"/>
        <v>6.0250300104948858E-12</v>
      </c>
      <c r="J44" s="155">
        <f t="shared" si="13"/>
        <v>3.4878903995089941E-11</v>
      </c>
      <c r="K44" s="154">
        <f t="shared" si="14"/>
        <v>2.9023117784158182E-16</v>
      </c>
      <c r="L44" s="158">
        <f t="shared" si="15"/>
        <v>0.21268881252037669</v>
      </c>
    </row>
    <row r="45" spans="1:12" x14ac:dyDescent="0.25">
      <c r="A45" s="159">
        <v>5</v>
      </c>
      <c r="B45" s="161">
        <v>88.200999999999993</v>
      </c>
      <c r="C45" s="154">
        <f>B45-B44</f>
        <v>2.5509999999999877</v>
      </c>
      <c r="D45" s="155">
        <f t="shared" si="7"/>
        <v>1.9600156801254505E-4</v>
      </c>
      <c r="E45" s="155">
        <f>SQRT(2)*D45*$B$13/C45</f>
        <v>2.7164648738703958E-5</v>
      </c>
      <c r="F45" s="155">
        <f t="shared" si="9"/>
        <v>1.3819141704017789E-15</v>
      </c>
      <c r="G45" s="155">
        <f t="shared" si="10"/>
        <v>7.8032045785123105E-9</v>
      </c>
      <c r="H45" s="155">
        <f t="shared" si="11"/>
        <v>5.2512738475267593E-17</v>
      </c>
      <c r="I45" s="154">
        <f t="shared" si="12"/>
        <v>6.0250300104948858E-12</v>
      </c>
      <c r="J45" s="155">
        <f t="shared" si="13"/>
        <v>3.5398464305483436E-11</v>
      </c>
      <c r="K45" s="154">
        <f t="shared" si="14"/>
        <v>2.9543801900301031E-16</v>
      </c>
      <c r="L45" s="158">
        <f t="shared" si="15"/>
        <v>0.2137889785999621</v>
      </c>
    </row>
    <row r="46" spans="1:12" x14ac:dyDescent="0.25">
      <c r="L46" s="158"/>
    </row>
    <row r="47" spans="1:12" x14ac:dyDescent="0.25">
      <c r="L47" s="158"/>
    </row>
    <row r="49" spans="1:12" x14ac:dyDescent="0.25">
      <c r="A49" s="154" t="s">
        <v>7</v>
      </c>
    </row>
    <row r="50" spans="1:12" x14ac:dyDescent="0.25">
      <c r="B50" s="154" t="s">
        <v>23</v>
      </c>
      <c r="C50" s="154" t="s">
        <v>27</v>
      </c>
      <c r="D50" s="154" t="s">
        <v>24</v>
      </c>
      <c r="E50" s="154" t="s">
        <v>29</v>
      </c>
      <c r="F50" s="154" t="s">
        <v>37</v>
      </c>
      <c r="G50" s="154" t="s">
        <v>39</v>
      </c>
      <c r="H50" s="154" t="s">
        <v>40</v>
      </c>
      <c r="I50" s="154" t="s">
        <v>41</v>
      </c>
      <c r="J50" s="154" t="s">
        <v>42</v>
      </c>
      <c r="K50" s="154" t="s">
        <v>2</v>
      </c>
      <c r="L50" s="154" t="s">
        <v>43</v>
      </c>
    </row>
    <row r="51" spans="1:12" x14ac:dyDescent="0.25">
      <c r="A51" s="159">
        <v>6</v>
      </c>
      <c r="B51" s="162">
        <v>89.823999999999998</v>
      </c>
      <c r="C51" s="154">
        <f>B51-B45</f>
        <v>1.6230000000000047</v>
      </c>
      <c r="D51" s="155">
        <f>$B$12/C51</f>
        <v>3.0807147258163809E-4</v>
      </c>
      <c r="E51" s="155">
        <f>SQRT(2)*D51*$B$13/C51</f>
        <v>6.7110113170856813E-5</v>
      </c>
      <c r="F51" s="155">
        <f>-(4*PI()/3)*$F$27^3*($B$9-$B$8)*($B$6/$E$18)*(1-ABS(D51)/$D$27)</f>
        <v>1.6551410266595816E-15</v>
      </c>
      <c r="G51" s="155">
        <f>F51*3/$F$27</f>
        <v>9.3460247488153188E-9</v>
      </c>
      <c r="H51" s="155">
        <f>F51/$E$18</f>
        <v>6.2895359013064102E-17</v>
      </c>
      <c r="I51" s="154">
        <f>-(4*PI()/3)*$F$27^3*($B$9-$B$8)*($B$6/$E$18)*(-1/$D$27)</f>
        <v>6.0250300104948858E-12</v>
      </c>
      <c r="J51" s="155">
        <f>-(4*PI()/3)*$F$27^3*($B$9-$B$8)*($B$6/$E$18)*(-ABS(D51)/$D$27^2)</f>
        <v>5.5638621345217224E-11</v>
      </c>
      <c r="K51" s="154">
        <f>SQRT(G51^2*$I$27^2+H51^2*$F$18^2+I51^2*E51^2+J51^2*$E$28^2)</f>
        <v>5.0102321159359568E-16</v>
      </c>
      <c r="L51" s="158">
        <f>K51/F51</f>
        <v>0.30270726392708941</v>
      </c>
    </row>
    <row r="52" spans="1:12" x14ac:dyDescent="0.25">
      <c r="A52" s="159">
        <v>7</v>
      </c>
      <c r="B52" s="162">
        <v>91.921000000000006</v>
      </c>
      <c r="C52" s="154">
        <f>B52-B51</f>
        <v>2.0970000000000084</v>
      </c>
      <c r="D52" s="155">
        <f t="shared" ref="D52:D55" si="16">$B$12/C52</f>
        <v>2.3843586075345636E-4</v>
      </c>
      <c r="E52" s="155">
        <f t="shared" ref="E52:E54" si="17">SQRT(2)*D52*$B$13/C52</f>
        <v>4.0200194090801077E-5</v>
      </c>
      <c r="F52" s="155">
        <f t="shared" ref="F52:F55" si="18">-(4*PI()/3)*$F$27^3*($B$9-$B$8)*($B$6/$E$18)*(1-ABS(D52)/$D$27)</f>
        <v>1.2355843755956141E-15</v>
      </c>
      <c r="G52" s="155">
        <f t="shared" ref="G52:G55" si="19">F52*3/$F$27</f>
        <v>6.9769294383766161E-9</v>
      </c>
      <c r="H52" s="155">
        <f t="shared" ref="H52:H55" si="20">F52/$E$18</f>
        <v>4.6952206272633332E-17</v>
      </c>
      <c r="I52" s="154">
        <f t="shared" ref="I52:I55" si="21">-(4*PI()/3)*$F$27^3*($B$9-$B$8)*($B$6/$E$18)*(-1/$D$27)</f>
        <v>6.0250300104948858E-12</v>
      </c>
      <c r="J52" s="155">
        <f t="shared" ref="J52:J55" si="22">-(4*PI()/3)*$F$27^3*($B$9-$B$8)*($B$6/$E$18)*(-ABS(D52)/$D$27^2)</f>
        <v>4.3062223387356915E-11</v>
      </c>
      <c r="K52" s="154">
        <f t="shared" ref="K52:K55" si="23">SQRT(G52^2*$I$27^2+H52^2*$F$18^2+I52^2*E52^2+J52^2*$E$28^2)</f>
        <v>3.2790178327627536E-16</v>
      </c>
      <c r="L52" s="158">
        <f t="shared" ref="L52:L55" si="24">K52/F52</f>
        <v>0.26538194376099172</v>
      </c>
    </row>
    <row r="53" spans="1:12" x14ac:dyDescent="0.25">
      <c r="A53" s="159">
        <v>8</v>
      </c>
      <c r="B53" s="162">
        <v>93.896000000000001</v>
      </c>
      <c r="C53" s="154">
        <f>B53-B52</f>
        <v>1.9749999999999943</v>
      </c>
      <c r="D53" s="155">
        <f t="shared" si="16"/>
        <v>2.5316455696202604E-4</v>
      </c>
      <c r="E53" s="155">
        <f t="shared" si="17"/>
        <v>4.5320094932642307E-5</v>
      </c>
      <c r="F53" s="155">
        <f t="shared" si="18"/>
        <v>1.3243252122677087E-15</v>
      </c>
      <c r="G53" s="155">
        <f t="shared" si="19"/>
        <v>7.4780190992629907E-9</v>
      </c>
      <c r="H53" s="155">
        <f t="shared" si="20"/>
        <v>5.0324358066172924E-17</v>
      </c>
      <c r="I53" s="154">
        <f t="shared" si="21"/>
        <v>6.0250300104948858E-12</v>
      </c>
      <c r="J53" s="155">
        <f t="shared" si="22"/>
        <v>4.5722269591538262E-11</v>
      </c>
      <c r="K53" s="154">
        <f t="shared" si="23"/>
        <v>3.6147042147119168E-16</v>
      </c>
      <c r="L53" s="158">
        <f t="shared" si="24"/>
        <v>0.27294686994007133</v>
      </c>
    </row>
    <row r="54" spans="1:12" x14ac:dyDescent="0.25">
      <c r="A54" s="159">
        <v>9</v>
      </c>
      <c r="B54" s="162">
        <v>95.641999999999996</v>
      </c>
      <c r="C54" s="154">
        <f>B54-B53</f>
        <v>1.7459999999999951</v>
      </c>
      <c r="D54" s="155">
        <f t="shared" si="16"/>
        <v>2.8636884306987482E-4</v>
      </c>
      <c r="E54" s="155">
        <f t="shared" si="17"/>
        <v>5.7987786613761546E-5</v>
      </c>
      <c r="F54" s="155">
        <f t="shared" si="18"/>
        <v>1.5243820325445562E-15</v>
      </c>
      <c r="G54" s="155">
        <f t="shared" si="19"/>
        <v>8.6076726836770199E-9</v>
      </c>
      <c r="H54" s="155">
        <f t="shared" si="20"/>
        <v>5.7926517236693129E-17</v>
      </c>
      <c r="I54" s="154">
        <f t="shared" si="21"/>
        <v>6.0250300104948858E-12</v>
      </c>
      <c r="J54" s="155">
        <f t="shared" si="22"/>
        <v>5.1719062109557886E-11</v>
      </c>
      <c r="K54" s="154">
        <f t="shared" si="23"/>
        <v>4.4310522741997942E-16</v>
      </c>
      <c r="L54" s="158">
        <f t="shared" si="24"/>
        <v>0.29067859497158427</v>
      </c>
    </row>
    <row r="55" spans="1:12" x14ac:dyDescent="0.25">
      <c r="A55" s="159">
        <v>10</v>
      </c>
      <c r="B55" s="162">
        <v>97.638999999999996</v>
      </c>
      <c r="C55" s="154">
        <f>B55-B54</f>
        <v>1.9969999999999999</v>
      </c>
      <c r="D55" s="155">
        <f t="shared" si="16"/>
        <v>2.5037556334501755E-4</v>
      </c>
      <c r="E55" s="155">
        <f>SQRT(2)*D55*$B$13/C55</f>
        <v>4.4327055254047049E-5</v>
      </c>
      <c r="F55" s="155">
        <f t="shared" si="18"/>
        <v>1.3075214420261539E-15</v>
      </c>
      <c r="G55" s="155">
        <f t="shared" si="19"/>
        <v>7.3831338598656346E-9</v>
      </c>
      <c r="H55" s="155">
        <f t="shared" si="20"/>
        <v>4.9685814796993846E-17</v>
      </c>
      <c r="I55" s="154">
        <f t="shared" si="21"/>
        <v>6.0250300104948858E-12</v>
      </c>
      <c r="J55" s="155">
        <f t="shared" si="22"/>
        <v>4.5218569075256796E-11</v>
      </c>
      <c r="K55" s="154">
        <f t="shared" si="23"/>
        <v>3.5499092070249972E-16</v>
      </c>
      <c r="L55" s="158">
        <f t="shared" si="24"/>
        <v>0.27149911985565661</v>
      </c>
    </row>
    <row r="56" spans="1:12" x14ac:dyDescent="0.25">
      <c r="L56" s="158"/>
    </row>
    <row r="57" spans="1:12" x14ac:dyDescent="0.25">
      <c r="L57" s="158"/>
    </row>
    <row r="59" spans="1:12" x14ac:dyDescent="0.25">
      <c r="B59" s="154" t="s">
        <v>38</v>
      </c>
    </row>
    <row r="60" spans="1:12" x14ac:dyDescent="0.25">
      <c r="A60" s="155"/>
      <c r="B60" s="154" t="s">
        <v>44</v>
      </c>
      <c r="C60" s="154" t="s">
        <v>45</v>
      </c>
    </row>
    <row r="61" spans="1:12" x14ac:dyDescent="0.25">
      <c r="A61" s="154">
        <v>1</v>
      </c>
      <c r="B61" s="155">
        <f>F41</f>
        <v>1.3438345789764076E-15</v>
      </c>
      <c r="C61" s="154">
        <f>K41</f>
        <v>2.8407286393180895E-16</v>
      </c>
    </row>
    <row r="62" spans="1:12" x14ac:dyDescent="0.25">
      <c r="A62" s="154">
        <v>2</v>
      </c>
      <c r="B62" s="155">
        <f t="shared" ref="B62:B65" si="25">F42</f>
        <v>1.4310988839978228E-15</v>
      </c>
      <c r="C62" s="154">
        <f t="shared" ref="C62:C65" si="26">K42</f>
        <v>3.1052381406310567E-16</v>
      </c>
    </row>
    <row r="63" spans="1:12" x14ac:dyDescent="0.25">
      <c r="A63" s="154">
        <v>3</v>
      </c>
      <c r="B63" s="155">
        <f t="shared" si="25"/>
        <v>1.4922611664603861E-15</v>
      </c>
      <c r="C63" s="154">
        <f t="shared" si="26"/>
        <v>3.2993496702697742E-16</v>
      </c>
    </row>
    <row r="64" spans="1:12" x14ac:dyDescent="0.25">
      <c r="A64" s="154">
        <v>4</v>
      </c>
      <c r="B64" s="155">
        <f t="shared" si="25"/>
        <v>1.364581307320883E-15</v>
      </c>
      <c r="C64" s="154">
        <f t="shared" si="26"/>
        <v>2.9023117784158182E-16</v>
      </c>
    </row>
    <row r="65" spans="1:3" x14ac:dyDescent="0.25">
      <c r="A65" s="154">
        <v>5</v>
      </c>
      <c r="B65" s="155">
        <f t="shared" si="25"/>
        <v>1.3819141704017789E-15</v>
      </c>
      <c r="C65" s="154">
        <f t="shared" si="26"/>
        <v>2.9543801900301031E-16</v>
      </c>
    </row>
    <row r="66" spans="1:3" x14ac:dyDescent="0.25">
      <c r="A66" s="154">
        <v>6</v>
      </c>
      <c r="B66" s="155">
        <f>F51</f>
        <v>1.6551410266595816E-15</v>
      </c>
      <c r="C66" s="154">
        <f>K51</f>
        <v>5.0102321159359568E-16</v>
      </c>
    </row>
    <row r="67" spans="1:3" x14ac:dyDescent="0.25">
      <c r="A67" s="154">
        <v>7</v>
      </c>
      <c r="B67" s="155">
        <f t="shared" ref="B67:B70" si="27">F52</f>
        <v>1.2355843755956141E-15</v>
      </c>
      <c r="C67" s="154">
        <f t="shared" ref="C67:C70" si="28">K52</f>
        <v>3.2790178327627536E-16</v>
      </c>
    </row>
    <row r="68" spans="1:3" x14ac:dyDescent="0.25">
      <c r="A68" s="154">
        <v>8</v>
      </c>
      <c r="B68" s="155">
        <f t="shared" si="27"/>
        <v>1.3243252122677087E-15</v>
      </c>
      <c r="C68" s="154">
        <f t="shared" si="28"/>
        <v>3.6147042147119168E-16</v>
      </c>
    </row>
    <row r="69" spans="1:3" x14ac:dyDescent="0.25">
      <c r="A69" s="154">
        <v>9</v>
      </c>
      <c r="B69" s="155">
        <f t="shared" si="27"/>
        <v>1.5243820325445562E-15</v>
      </c>
      <c r="C69" s="154">
        <f t="shared" si="28"/>
        <v>4.4310522741997942E-16</v>
      </c>
    </row>
    <row r="70" spans="1:3" x14ac:dyDescent="0.25">
      <c r="A70" s="154">
        <v>10</v>
      </c>
      <c r="B70" s="155">
        <f t="shared" si="27"/>
        <v>1.3075214420261539E-15</v>
      </c>
      <c r="C70" s="154">
        <f t="shared" si="28"/>
        <v>3.5499092070249972E-16</v>
      </c>
    </row>
  </sheetData>
  <mergeCells count="2">
    <mergeCell ref="A1:C2"/>
    <mergeCell ref="A14:C15"/>
  </mergeCells>
  <conditionalFormatting sqref="C32:G36">
    <cfRule type="cellIs" dxfId="11" priority="5" operator="notBetween">
      <formula>-1.96</formula>
      <formula>1.96</formula>
    </cfRule>
  </conditionalFormatting>
  <conditionalFormatting sqref="L41:L47">
    <cfRule type="cellIs" priority="4" operator="greaterThan">
      <formula>0.04</formula>
    </cfRule>
  </conditionalFormatting>
  <conditionalFormatting sqref="L51:L57">
    <cfRule type="cellIs" priority="2" operator="greaterThan">
      <formula>0.04</formula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3" operator="greaterThan" id="{C5B7184C-EF93-4B71-B66B-749531A22401}">
            <xm:f>Dati!$B$14</xm:f>
            <x14:dxf>
              <fill>
                <patternFill>
                  <bgColor theme="5"/>
                </patternFill>
              </fill>
            </x14:dxf>
          </x14:cfRule>
          <xm:sqref>L41:L47</xm:sqref>
        </x14:conditionalFormatting>
        <x14:conditionalFormatting xmlns:xm="http://schemas.microsoft.com/office/excel/2006/main">
          <x14:cfRule type="cellIs" priority="1" operator="greaterThan" id="{5BA46A46-6C2C-443D-9145-292D58501D89}">
            <xm:f>Dati!$B$14</xm:f>
            <x14:dxf>
              <fill>
                <patternFill>
                  <bgColor theme="5"/>
                </patternFill>
              </fill>
            </x14:dxf>
          </x14:cfRule>
          <xm:sqref>L51:L57</xm:sqref>
        </x14:conditionalFormatting>
      </x14:conditionalFormatting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topLeftCell="A10" workbookViewId="0">
      <selection activeCell="B55" sqref="B55"/>
    </sheetView>
  </sheetViews>
  <sheetFormatPr defaultRowHeight="15" x14ac:dyDescent="0.25"/>
  <cols>
    <col min="1" max="1" width="13.140625" style="162" customWidth="1"/>
    <col min="2" max="2" width="9.140625" style="162"/>
    <col min="3" max="5" width="12" style="162" customWidth="1"/>
    <col min="6" max="7" width="12.140625" style="162" customWidth="1"/>
    <col min="8" max="9" width="12" style="162" customWidth="1"/>
    <col min="10" max="10" width="9.140625" style="162"/>
    <col min="11" max="11" width="12" style="162" customWidth="1"/>
    <col min="12" max="16384" width="9.140625" style="162"/>
  </cols>
  <sheetData>
    <row r="1" spans="1:5" x14ac:dyDescent="0.25">
      <c r="A1" s="187" t="str">
        <f>[1]Dati!A1</f>
        <v>Costanti varie</v>
      </c>
      <c r="B1" s="187"/>
      <c r="C1" s="187"/>
    </row>
    <row r="2" spans="1:5" x14ac:dyDescent="0.25">
      <c r="A2" s="187"/>
      <c r="B2" s="187"/>
      <c r="C2" s="187"/>
    </row>
    <row r="4" spans="1:5" x14ac:dyDescent="0.25">
      <c r="B4" s="162" t="s">
        <v>1</v>
      </c>
      <c r="C4" s="162" t="s">
        <v>2</v>
      </c>
    </row>
    <row r="5" spans="1:5" x14ac:dyDescent="0.25">
      <c r="A5" s="162" t="str">
        <f>[1]Dati!A5</f>
        <v>d</v>
      </c>
      <c r="B5" s="163">
        <v>7.6</v>
      </c>
      <c r="C5" s="162">
        <f>[1]Dati!C5</f>
        <v>1.0000000000000001E-5</v>
      </c>
    </row>
    <row r="6" spans="1:5" x14ac:dyDescent="0.25">
      <c r="A6" s="162" t="str">
        <f>[1]Dati!A6</f>
        <v>g</v>
      </c>
      <c r="B6" s="162">
        <f>[1]Dati!B6</f>
        <v>9.8059999999999992</v>
      </c>
      <c r="C6" s="162">
        <f>[1]Dati!C6</f>
        <v>0</v>
      </c>
    </row>
    <row r="7" spans="1:5" x14ac:dyDescent="0.25">
      <c r="A7" s="162" t="str">
        <f>[1]Dati!A7</f>
        <v>pressione</v>
      </c>
      <c r="B7" s="162">
        <f>[1]Dati!B7</f>
        <v>101325</v>
      </c>
      <c r="C7" s="162">
        <f>[1]Dati!C7</f>
        <v>0</v>
      </c>
    </row>
    <row r="8" spans="1:5" x14ac:dyDescent="0.25">
      <c r="A8" s="162" t="str">
        <f>[1]Dati!A8</f>
        <v>densità aria</v>
      </c>
      <c r="B8" s="162">
        <v>0</v>
      </c>
      <c r="C8" s="162">
        <f>[1]Dati!C8</f>
        <v>0</v>
      </c>
    </row>
    <row r="9" spans="1:5" x14ac:dyDescent="0.25">
      <c r="A9" s="162" t="str">
        <f>[1]Dati!A9</f>
        <v>densità olio</v>
      </c>
      <c r="B9" s="162">
        <v>858.7</v>
      </c>
      <c r="C9" s="162">
        <f>[1]Dati!C9</f>
        <v>0</v>
      </c>
    </row>
    <row r="10" spans="1:5" x14ac:dyDescent="0.25">
      <c r="A10" s="162" t="str">
        <f>[1]Dati!A10</f>
        <v>cst corr vis</v>
      </c>
      <c r="B10" s="162">
        <f>[1]Dati!B10</f>
        <v>8.2000000000000007E-3</v>
      </c>
      <c r="C10" s="162">
        <f>[1]Dati!C10</f>
        <v>0</v>
      </c>
    </row>
    <row r="11" spans="1:5" x14ac:dyDescent="0.25">
      <c r="A11" s="162" t="str">
        <f>[1]Dati!A11</f>
        <v>e</v>
      </c>
      <c r="B11" s="162">
        <f>[1]Dati!B11</f>
        <v>1.6021766200000001E-19</v>
      </c>
      <c r="C11" s="162">
        <f>[1]Dati!C11</f>
        <v>0</v>
      </c>
    </row>
    <row r="12" spans="1:5" x14ac:dyDescent="0.25">
      <c r="A12" s="162" t="str">
        <f>[1]Dati!A12</f>
        <v>deltax</v>
      </c>
      <c r="B12" s="162">
        <f>[1]Dati!B12</f>
        <v>5.0000000000000001E-4</v>
      </c>
      <c r="C12" s="162">
        <f>[1]Dati!C12</f>
        <v>0</v>
      </c>
    </row>
    <row r="13" spans="1:5" x14ac:dyDescent="0.25">
      <c r="A13" s="162" t="s">
        <v>30</v>
      </c>
      <c r="B13" s="162">
        <f>Dati!B13</f>
        <v>0.25</v>
      </c>
    </row>
    <row r="14" spans="1:5" x14ac:dyDescent="0.25">
      <c r="A14" s="187" t="s">
        <v>17</v>
      </c>
      <c r="B14" s="187"/>
      <c r="C14" s="187"/>
      <c r="D14" s="165"/>
    </row>
    <row r="15" spans="1:5" x14ac:dyDescent="0.25">
      <c r="A15" s="187"/>
      <c r="B15" s="187"/>
      <c r="C15" s="187"/>
      <c r="D15" s="165"/>
    </row>
    <row r="16" spans="1:5" x14ac:dyDescent="0.25">
      <c r="A16" s="162" t="s">
        <v>18</v>
      </c>
      <c r="B16" s="162">
        <v>200</v>
      </c>
      <c r="C16" s="162">
        <f>B16/100</f>
        <v>2</v>
      </c>
      <c r="D16" s="162" t="s">
        <v>19</v>
      </c>
      <c r="E16" s="162">
        <f>(1.8+(B18-15)*0.004765)*0.00001</f>
        <v>1.8285900000000001E-5</v>
      </c>
    </row>
    <row r="17" spans="1:10" x14ac:dyDescent="0.25">
      <c r="A17" s="162" t="s">
        <v>20</v>
      </c>
      <c r="E17" s="164"/>
    </row>
    <row r="18" spans="1:10" x14ac:dyDescent="0.25">
      <c r="A18" s="162" t="s">
        <v>21</v>
      </c>
      <c r="B18" s="162">
        <v>21</v>
      </c>
      <c r="C18" s="162">
        <v>0.5</v>
      </c>
      <c r="D18" s="162" t="s">
        <v>22</v>
      </c>
      <c r="E18" s="163">
        <f>B16/B5</f>
        <v>26.315789473684212</v>
      </c>
      <c r="F18" s="162">
        <f>SQRT((C16/B5)^2+(B16*C5/B5^2)^2)</f>
        <v>0.26315789701487097</v>
      </c>
      <c r="G18" s="163"/>
    </row>
    <row r="21" spans="1:10" x14ac:dyDescent="0.25">
      <c r="B21" s="162" t="s">
        <v>23</v>
      </c>
      <c r="C21" s="162" t="s">
        <v>27</v>
      </c>
      <c r="D21" s="162" t="s">
        <v>24</v>
      </c>
      <c r="E21" s="162" t="s">
        <v>29</v>
      </c>
      <c r="F21" s="162" t="s">
        <v>25</v>
      </c>
      <c r="G21" s="162" t="s">
        <v>26</v>
      </c>
      <c r="H21" s="162" t="s">
        <v>28</v>
      </c>
      <c r="I21" s="162" t="s">
        <v>31</v>
      </c>
      <c r="J21" s="162" t="s">
        <v>32</v>
      </c>
    </row>
    <row r="22" spans="1:10" x14ac:dyDescent="0.25">
      <c r="A22" s="162">
        <v>1</v>
      </c>
      <c r="B22" s="168">
        <v>20.286999999999999</v>
      </c>
      <c r="C22" s="162">
        <f>B22</f>
        <v>20.286999999999999</v>
      </c>
      <c r="D22" s="163">
        <f>B12/B22</f>
        <v>2.4646325232907775E-5</v>
      </c>
      <c r="E22" s="163">
        <f>SQRT(2)*D22*$B$13/C22</f>
        <v>4.2952589598063307E-7</v>
      </c>
      <c r="F22" s="5">
        <f>(($B$10/(2*$B$7))^2+9*$E$16*D22/(2*$B$6*($B$9-$B$8)))^(1/2)-$B$10/(2*$B$7)</f>
        <v>4.5196674315569819E-7</v>
      </c>
      <c r="G22" s="162">
        <f>(($B$10/(2*$B$7))^2+9*$E$16*D22/(2*$B$6*($B$9-$B$8)))^(-1/2)*(9*$E$16)/(4*$B$6*$B$9)</f>
        <v>9.9224855884801604E-3</v>
      </c>
      <c r="H22" s="162">
        <f>(($B$10/(2*$B$7))^2+9*$E$16*D22/(2*$B$6*($B$9-$B$8)))^(-1/2)*((9*D22)/(4*$B$6*$B$9))*0.00000004765</f>
        <v>6.3726375241769279E-10</v>
      </c>
      <c r="I22" s="162">
        <f>SQRT(G22^2*E22^2+H22^2*$C$18^2+$F$28^2)</f>
        <v>8.1032919192204368E-9</v>
      </c>
      <c r="J22" s="163">
        <f>I22/F22</f>
        <v>1.7928956149830987E-2</v>
      </c>
    </row>
    <row r="23" spans="1:10" x14ac:dyDescent="0.25">
      <c r="A23" s="162">
        <v>2</v>
      </c>
      <c r="B23" s="168">
        <v>39.957999999999998</v>
      </c>
      <c r="C23" s="162">
        <f>B23-B22</f>
        <v>19.670999999999999</v>
      </c>
      <c r="D23" s="163">
        <f>$B$12/(B23-B22)</f>
        <v>2.5418128209038688E-5</v>
      </c>
      <c r="E23" s="163">
        <f t="shared" ref="E23:E25" si="0">SQRT(2)*D23*$B$13/C23</f>
        <v>4.5684842716893731E-7</v>
      </c>
      <c r="F23" s="5">
        <f>(($B$10/(2*$B$7))^2+9*E16*D23/(2*$B$6*($B$9-$B$8)))^(1/2)-$B$10/(2*$B$7)</f>
        <v>4.5956630595240831E-7</v>
      </c>
      <c r="G23" s="162">
        <f t="shared" ref="G23:G27" si="1">(($B$10/(2*$B$7))^2+9*$E$16*D23/(2*$B$6*($B$9-$B$8)))^(-1/2)*(9*$E$16)/(4*$B$6*$B$9)</f>
        <v>9.7716815802858688E-3</v>
      </c>
      <c r="H23" s="162">
        <f t="shared" ref="H23:H27" si="2">(($B$10/(2*$B$7))^2+9*$E$16*D23/(2*$B$6*($B$9-$B$8)))^(-1/2)*((9*D23)/(4*$B$6*$B$9))*0.00000004765</f>
        <v>6.4723118914027859E-10</v>
      </c>
      <c r="I23" s="162">
        <f t="shared" ref="I23:I27" si="3">SQRT(G23^2*E23^2+H23^2*$C$18^2+$F$28^2)</f>
        <v>8.2116428751455466E-9</v>
      </c>
      <c r="J23" s="163">
        <f t="shared" ref="J23:J27" si="4">I23/F23</f>
        <v>1.7868243969991843E-2</v>
      </c>
    </row>
    <row r="24" spans="1:10" x14ac:dyDescent="0.25">
      <c r="A24" s="162">
        <v>3</v>
      </c>
      <c r="B24" s="168">
        <v>60.975000000000001</v>
      </c>
      <c r="C24" s="162">
        <f t="shared" ref="C24:C26" si="5">B24-B23</f>
        <v>21.017000000000003</v>
      </c>
      <c r="D24" s="163">
        <f>$B$12/(B24-B23)</f>
        <v>2.379026502355236E-5</v>
      </c>
      <c r="E24" s="163">
        <f t="shared" si="0"/>
        <v>4.0020596955747759E-7</v>
      </c>
      <c r="F24" s="5">
        <f>(($B$10/(2*$B$7))^2+9*E16*D24/(2*$B$6*($B$9-$B$8)))^(1/2)-$B$10/(2*$B$7)</f>
        <v>4.4339794512326137E-7</v>
      </c>
      <c r="G24" s="162">
        <f t="shared" si="1"/>
        <v>1.0098204719754566E-2</v>
      </c>
      <c r="H24" s="162">
        <f t="shared" si="2"/>
        <v>6.2602260516964182E-10</v>
      </c>
      <c r="I24" s="162">
        <f t="shared" si="3"/>
        <v>7.9892461163650673E-9</v>
      </c>
      <c r="J24" s="163">
        <f t="shared" si="4"/>
        <v>1.8018229908900719E-2</v>
      </c>
    </row>
    <row r="25" spans="1:10" x14ac:dyDescent="0.25">
      <c r="A25" s="162">
        <v>4</v>
      </c>
      <c r="B25" s="168">
        <v>82.025000000000006</v>
      </c>
      <c r="C25" s="162">
        <f t="shared" si="5"/>
        <v>21.050000000000004</v>
      </c>
      <c r="D25" s="163">
        <f>$B$12/(B25-B24)</f>
        <v>2.3752969121140138E-5</v>
      </c>
      <c r="E25" s="163">
        <f t="shared" si="0"/>
        <v>3.9895215056705121E-7</v>
      </c>
      <c r="F25" s="5">
        <f>(($B$10/(2*$B$7))^2+9*E16*D25/(2*$B$6*($B$9-$B$8)))^(1/2)-$B$10/(2*$B$7)</f>
        <v>4.4302117677651516E-7</v>
      </c>
      <c r="G25" s="162">
        <f t="shared" si="1"/>
        <v>1.0106074009713273E-2</v>
      </c>
      <c r="H25" s="162">
        <f t="shared" si="2"/>
        <v>6.2552827174464608E-10</v>
      </c>
      <c r="I25" s="162">
        <f t="shared" si="3"/>
        <v>7.984424025257611E-9</v>
      </c>
      <c r="J25" s="163">
        <f t="shared" si="4"/>
        <v>1.8022668991476684E-2</v>
      </c>
    </row>
    <row r="26" spans="1:10" x14ac:dyDescent="0.25">
      <c r="A26" s="162">
        <v>5</v>
      </c>
      <c r="B26" s="168">
        <v>102.358</v>
      </c>
      <c r="C26" s="162">
        <f t="shared" si="5"/>
        <v>20.332999999999998</v>
      </c>
      <c r="D26" s="163">
        <f>$B$12/(B26-B25)</f>
        <v>2.4590567058476371E-5</v>
      </c>
      <c r="E26" s="163">
        <f>SQRT(2)*D26*$B$13/C26</f>
        <v>4.2758463385312491E-7</v>
      </c>
      <c r="F26" s="5">
        <f>(($B$10/(2*$B$7))^2+9*E16*D26/(2*$B$6*($B$9-$B$8)))^(1/2)-$B$10/(2*$B$7)</f>
        <v>4.5141317232233861E-7</v>
      </c>
      <c r="G26" s="162">
        <f t="shared" si="1"/>
        <v>9.9336526044678814E-3</v>
      </c>
      <c r="H26" s="162">
        <f t="shared" si="2"/>
        <v>6.3653762033043064E-10</v>
      </c>
      <c r="I26" s="162">
        <f t="shared" si="3"/>
        <v>8.0956673503260457E-9</v>
      </c>
      <c r="J26" s="163">
        <f t="shared" si="4"/>
        <v>1.7934052098384955E-2</v>
      </c>
    </row>
    <row r="27" spans="1:10" x14ac:dyDescent="0.25">
      <c r="A27" s="7" t="s">
        <v>34</v>
      </c>
      <c r="B27" s="7"/>
      <c r="C27" s="7">
        <f>AVERAGE(C22:C26)</f>
        <v>20.471600000000002</v>
      </c>
      <c r="D27" s="7">
        <f>AVERAGE(D22:D26)</f>
        <v>2.4439650929023066E-5</v>
      </c>
      <c r="E27" s="8">
        <f>SQRT(2)*D27*$B$13/C27</f>
        <v>4.2208334721624878E-7</v>
      </c>
      <c r="F27" s="9">
        <f>AVERAGE(F22:F26)</f>
        <v>4.498730686660443E-7</v>
      </c>
      <c r="G27" s="7">
        <f t="shared" si="1"/>
        <v>9.9640676237174215E-3</v>
      </c>
      <c r="H27" s="7">
        <f t="shared" si="2"/>
        <v>6.3456809025714603E-10</v>
      </c>
      <c r="I27" s="7">
        <f t="shared" si="3"/>
        <v>8.0737708878729381E-9</v>
      </c>
      <c r="J27" s="8">
        <f t="shared" si="4"/>
        <v>1.7946775324455721E-2</v>
      </c>
    </row>
    <row r="28" spans="1:10" x14ac:dyDescent="0.25">
      <c r="A28" s="162" t="s">
        <v>35</v>
      </c>
      <c r="C28" s="6">
        <f>_xlfn.STDEV.S(C22:C26)</f>
        <v>0.57581576914843391</v>
      </c>
      <c r="D28" s="163">
        <f>_xlfn.STDEV.S(D22:D26)</f>
        <v>6.9212384965111943E-7</v>
      </c>
      <c r="E28" s="8">
        <f>SQRT(2)*D28*$B$13/C28</f>
        <v>4.2496705867661468E-7</v>
      </c>
      <c r="F28" s="163">
        <f>_xlfn.STDEV.S(F22:F26)</f>
        <v>6.8845822057444617E-9</v>
      </c>
    </row>
    <row r="30" spans="1:10" x14ac:dyDescent="0.25">
      <c r="A30" s="162" t="s">
        <v>31</v>
      </c>
      <c r="C30" s="162">
        <f t="array" ref="C30:G31">TRANSPOSE(A32:B36)</f>
        <v>8.1032919192204368E-9</v>
      </c>
      <c r="D30" s="162">
        <v>8.2116428751455466E-9</v>
      </c>
      <c r="E30" s="162">
        <v>7.9892461163650673E-9</v>
      </c>
      <c r="F30" s="162">
        <v>7.984424025257611E-9</v>
      </c>
      <c r="G30" s="162">
        <v>8.0956673503260457E-9</v>
      </c>
    </row>
    <row r="31" spans="1:10" x14ac:dyDescent="0.25">
      <c r="B31" s="162" t="s">
        <v>25</v>
      </c>
      <c r="C31" s="162">
        <v>4.5196674315569819E-7</v>
      </c>
      <c r="D31" s="162">
        <v>4.5956630595240831E-7</v>
      </c>
      <c r="E31" s="162">
        <v>4.4339794512326137E-7</v>
      </c>
      <c r="F31" s="162">
        <v>4.4302117677651516E-7</v>
      </c>
      <c r="G31" s="162">
        <v>4.5141317232233861E-7</v>
      </c>
    </row>
    <row r="32" spans="1:10" x14ac:dyDescent="0.25">
      <c r="A32" s="162">
        <f>I22</f>
        <v>8.1032919192204368E-9</v>
      </c>
      <c r="B32" s="5">
        <f>F22</f>
        <v>4.5196674315569819E-7</v>
      </c>
      <c r="C32" s="162">
        <f t="shared" ref="C32:G36" si="6">(C$31-$B32)/SQRT(C$30^2+$A32^2)</f>
        <v>0</v>
      </c>
      <c r="D32" s="162">
        <f t="shared" si="6"/>
        <v>0.65873188630884549</v>
      </c>
      <c r="E32" s="162">
        <f t="shared" si="6"/>
        <v>-0.75300776463155594</v>
      </c>
      <c r="F32" s="162">
        <f t="shared" si="6"/>
        <v>-0.78635127728683052</v>
      </c>
      <c r="G32" s="162">
        <f t="shared" si="6"/>
        <v>-4.8328246310490749E-2</v>
      </c>
    </row>
    <row r="33" spans="1:12" x14ac:dyDescent="0.25">
      <c r="A33" s="162">
        <f>I23</f>
        <v>8.2116428751455466E-9</v>
      </c>
      <c r="B33" s="5">
        <f>F23</f>
        <v>4.5956630595240831E-7</v>
      </c>
      <c r="C33" s="162">
        <f t="shared" si="6"/>
        <v>-0.65873188630884549</v>
      </c>
      <c r="D33" s="162">
        <f t="shared" si="6"/>
        <v>0</v>
      </c>
      <c r="E33" s="162">
        <f t="shared" si="6"/>
        <v>-1.4112411401096026</v>
      </c>
      <c r="F33" s="162">
        <f t="shared" si="6"/>
        <v>-1.4445509469874334</v>
      </c>
      <c r="G33" s="162">
        <f t="shared" si="6"/>
        <v>-0.70704367635096477</v>
      </c>
    </row>
    <row r="34" spans="1:12" x14ac:dyDescent="0.25">
      <c r="A34" s="162">
        <f>I24</f>
        <v>7.9892461163650673E-9</v>
      </c>
      <c r="B34" s="5">
        <f>F24</f>
        <v>4.4339794512326137E-7</v>
      </c>
      <c r="C34" s="162">
        <f t="shared" si="6"/>
        <v>0.75300776463155594</v>
      </c>
      <c r="D34" s="162">
        <f t="shared" si="6"/>
        <v>1.4112411401096026</v>
      </c>
      <c r="E34" s="162">
        <f t="shared" si="6"/>
        <v>0</v>
      </c>
      <c r="F34" s="162">
        <f t="shared" si="6"/>
        <v>-3.3356822623658383E-2</v>
      </c>
      <c r="G34" s="162">
        <f t="shared" si="6"/>
        <v>0.70469728954028743</v>
      </c>
    </row>
    <row r="35" spans="1:12" x14ac:dyDescent="0.25">
      <c r="A35" s="162">
        <f>I25</f>
        <v>7.984424025257611E-9</v>
      </c>
      <c r="B35" s="5">
        <f>F25</f>
        <v>4.4302117677651516E-7</v>
      </c>
      <c r="C35" s="162">
        <f t="shared" si="6"/>
        <v>0.78635127728683052</v>
      </c>
      <c r="D35" s="162">
        <f t="shared" si="6"/>
        <v>1.4445509469874334</v>
      </c>
      <c r="E35" s="162">
        <f t="shared" si="6"/>
        <v>3.3356822623658383E-2</v>
      </c>
      <c r="F35" s="162">
        <f t="shared" si="6"/>
        <v>0</v>
      </c>
      <c r="G35" s="162">
        <f t="shared" si="6"/>
        <v>0.73804244313299427</v>
      </c>
    </row>
    <row r="36" spans="1:12" x14ac:dyDescent="0.25">
      <c r="A36" s="162">
        <f>I26</f>
        <v>8.0956673503260457E-9</v>
      </c>
      <c r="B36" s="5">
        <f>F26</f>
        <v>4.5141317232233861E-7</v>
      </c>
      <c r="C36" s="162">
        <f t="shared" si="6"/>
        <v>4.8328246310490749E-2</v>
      </c>
      <c r="D36" s="162">
        <f t="shared" si="6"/>
        <v>0.70704367635096477</v>
      </c>
      <c r="E36" s="162">
        <f t="shared" si="6"/>
        <v>-0.70469728954028743</v>
      </c>
      <c r="F36" s="162">
        <f t="shared" si="6"/>
        <v>-0.73804244313299427</v>
      </c>
      <c r="G36" s="162">
        <f t="shared" si="6"/>
        <v>0</v>
      </c>
    </row>
    <row r="39" spans="1:12" x14ac:dyDescent="0.25">
      <c r="A39" s="162" t="s">
        <v>7</v>
      </c>
    </row>
    <row r="40" spans="1:12" x14ac:dyDescent="0.25">
      <c r="B40" s="162" t="s">
        <v>36</v>
      </c>
      <c r="C40" s="162" t="s">
        <v>27</v>
      </c>
      <c r="D40" s="162" t="s">
        <v>24</v>
      </c>
      <c r="E40" s="162" t="s">
        <v>29</v>
      </c>
      <c r="F40" s="162" t="s">
        <v>37</v>
      </c>
      <c r="G40" s="162" t="s">
        <v>39</v>
      </c>
      <c r="H40" s="162" t="s">
        <v>40</v>
      </c>
      <c r="I40" s="162" t="s">
        <v>41</v>
      </c>
      <c r="J40" s="162" t="s">
        <v>42</v>
      </c>
      <c r="K40" s="162" t="s">
        <v>2</v>
      </c>
      <c r="L40" s="162" t="s">
        <v>43</v>
      </c>
    </row>
    <row r="41" spans="1:12" x14ac:dyDescent="0.25">
      <c r="A41" s="167">
        <v>1</v>
      </c>
      <c r="B41" s="169">
        <v>109.126</v>
      </c>
      <c r="C41" s="162">
        <f>B41-B26</f>
        <v>6.7680000000000007</v>
      </c>
      <c r="D41" s="163">
        <f>$B$12/C41</f>
        <v>7.387706855791962E-5</v>
      </c>
      <c r="E41" s="163">
        <f>SQRT(2)*D41*$B$13/C41</f>
        <v>3.859262422539039E-6</v>
      </c>
      <c r="F41" s="163">
        <f>(4*PI()/3)*$F$27^3*($B$9-$B$8)*($B$6/$E$18)*(1+ABS(D41)/$D$27)</f>
        <v>4.9091683304058624E-16</v>
      </c>
      <c r="G41" s="163">
        <f>F41*3/$F$27</f>
        <v>3.2737022989367481E-9</v>
      </c>
      <c r="H41" s="163">
        <f>F41/$E$18</f>
        <v>1.8654839655542276E-17</v>
      </c>
      <c r="I41" s="162">
        <f>(4*PI()/3)*$F$27^3*($B$9-$B$8)*($B$6/$E$18)*(1/$D$27)</f>
        <v>4.9932181993296091E-12</v>
      </c>
      <c r="J41" s="163">
        <f>(4*PI()/3)*$F$27^3*($B$9-$B$8)*($B$6/$E$18)*(ABS(D41)/$D$27^2)</f>
        <v>1.509368216051157E-11</v>
      </c>
      <c r="K41" s="162">
        <f>SQRT(G41^2*$I$27^2+H41^2*$F$18^2+I41^2*E41^2+J41^2*$E$28^2)</f>
        <v>3.3692519998746396E-17</v>
      </c>
      <c r="L41" s="166">
        <f>K41/F41</f>
        <v>6.8631828715396456E-2</v>
      </c>
    </row>
    <row r="42" spans="1:12" x14ac:dyDescent="0.25">
      <c r="A42" s="167">
        <v>2</v>
      </c>
      <c r="B42" s="169">
        <v>115.92400000000001</v>
      </c>
      <c r="C42" s="162">
        <f>B42-B41</f>
        <v>6.7980000000000018</v>
      </c>
      <c r="D42" s="163">
        <f t="shared" ref="D42:D45" si="7">$B$12/C42</f>
        <v>7.3551044424830813E-5</v>
      </c>
      <c r="E42" s="163">
        <f t="shared" ref="E42:E44" si="8">SQRT(2)*D42*$B$13/C42</f>
        <v>3.8252752483194225E-6</v>
      </c>
      <c r="F42" s="163">
        <f t="shared" ref="F42:F45" si="9">(4*PI()/3)*$F$27^3*($B$9-$B$8)*($B$6/$E$18)*(1+ABS(D42)/$D$27)</f>
        <v>4.892889234058265E-16</v>
      </c>
      <c r="G42" s="163">
        <f t="shared" ref="G42:G45" si="10">F42*3/$F$27</f>
        <v>3.2628465059488277E-9</v>
      </c>
      <c r="H42" s="163">
        <f t="shared" ref="H42:H45" si="11">F42/$E$18</f>
        <v>1.8592979089421407E-17</v>
      </c>
      <c r="I42" s="162">
        <f t="shared" ref="I42:I45" si="12">(4*PI()/3)*$F$27^3*($B$9-$B$8)*($B$6/$E$18)*(1/$D$27)</f>
        <v>4.9932181993296091E-12</v>
      </c>
      <c r="J42" s="163">
        <f t="shared" ref="J42:J45" si="13">(4*PI()/3)*$F$27^3*($B$9-$B$8)*($B$6/$E$18)*(ABS(D42)/$D$27^2)</f>
        <v>1.5027072795284242E-11</v>
      </c>
      <c r="K42" s="162">
        <f t="shared" ref="K42:K45" si="14">SQRT(G42^2*$I$27^2+H42^2*$F$18^2+I42^2*E42^2+J42^2*$E$28^2)</f>
        <v>3.3519050725260621E-17</v>
      </c>
      <c r="L42" s="166">
        <f t="shared" ref="L42:L45" si="15">K42/F42</f>
        <v>6.8505639759719669E-2</v>
      </c>
    </row>
    <row r="43" spans="1:12" x14ac:dyDescent="0.25">
      <c r="A43" s="167">
        <v>3</v>
      </c>
      <c r="B43" s="169">
        <v>122.93600000000001</v>
      </c>
      <c r="C43" s="162">
        <f>B43-B42</f>
        <v>7.0120000000000005</v>
      </c>
      <c r="D43" s="163">
        <f t="shared" si="7"/>
        <v>7.1306332002281798E-5</v>
      </c>
      <c r="E43" s="163">
        <f t="shared" si="8"/>
        <v>3.5953501782909857E-6</v>
      </c>
      <c r="F43" s="163">
        <f t="shared" si="9"/>
        <v>4.7808058448529357E-16</v>
      </c>
      <c r="G43" s="163">
        <f t="shared" si="10"/>
        <v>3.1881031636516254E-9</v>
      </c>
      <c r="H43" s="163">
        <f t="shared" si="11"/>
        <v>1.8167062210441154E-17</v>
      </c>
      <c r="I43" s="162">
        <f t="shared" si="12"/>
        <v>4.9932181993296091E-12</v>
      </c>
      <c r="J43" s="163">
        <f t="shared" si="13"/>
        <v>1.4568459906209684E-11</v>
      </c>
      <c r="K43" s="162">
        <f t="shared" si="14"/>
        <v>3.2342261493314247E-17</v>
      </c>
      <c r="L43" s="166">
        <f t="shared" si="15"/>
        <v>6.7650229988181293E-2</v>
      </c>
    </row>
    <row r="44" spans="1:12" x14ac:dyDescent="0.25">
      <c r="A44" s="167">
        <v>4</v>
      </c>
      <c r="B44" s="169">
        <v>129.48099999999999</v>
      </c>
      <c r="C44" s="162">
        <f>B44-B43</f>
        <v>6.5449999999999875</v>
      </c>
      <c r="D44" s="163">
        <f t="shared" si="7"/>
        <v>7.639419404125301E-5</v>
      </c>
      <c r="E44" s="163">
        <f t="shared" si="8"/>
        <v>4.1267267112185674E-6</v>
      </c>
      <c r="F44" s="163">
        <f t="shared" si="9"/>
        <v>5.034853898139628E-16</v>
      </c>
      <c r="G44" s="163">
        <f t="shared" si="10"/>
        <v>3.3575163188155861E-9</v>
      </c>
      <c r="H44" s="163">
        <f t="shared" si="11"/>
        <v>1.9132444812930585E-17</v>
      </c>
      <c r="I44" s="162">
        <f t="shared" si="12"/>
        <v>4.9932181993296091E-12</v>
      </c>
      <c r="J44" s="163">
        <f t="shared" si="13"/>
        <v>1.5607951239471736E-11</v>
      </c>
      <c r="K44" s="162">
        <f t="shared" si="14"/>
        <v>3.5053831590025179E-17</v>
      </c>
      <c r="L44" s="166">
        <f t="shared" si="15"/>
        <v>6.9622341182486988E-2</v>
      </c>
    </row>
    <row r="45" spans="1:12" x14ac:dyDescent="0.25">
      <c r="A45" s="167">
        <v>5</v>
      </c>
      <c r="B45" s="169">
        <v>136.09</v>
      </c>
      <c r="C45" s="162">
        <f>B45-B44</f>
        <v>6.6090000000000089</v>
      </c>
      <c r="D45" s="163">
        <f t="shared" si="7"/>
        <v>7.5654410652140918E-5</v>
      </c>
      <c r="E45" s="163">
        <f>SQRT(2)*D45*$B$13/C45</f>
        <v>4.0471891964594156E-6</v>
      </c>
      <c r="F45" s="163">
        <f t="shared" si="9"/>
        <v>4.997914899318866E-16</v>
      </c>
      <c r="G45" s="163">
        <f t="shared" si="10"/>
        <v>3.3328833713953554E-9</v>
      </c>
      <c r="H45" s="163">
        <f t="shared" si="11"/>
        <v>1.899207661741169E-17</v>
      </c>
      <c r="I45" s="162">
        <f t="shared" si="12"/>
        <v>4.9932181993296091E-12</v>
      </c>
      <c r="J45" s="163">
        <f t="shared" si="13"/>
        <v>1.5456807514350459E-11</v>
      </c>
      <c r="K45" s="162">
        <f t="shared" si="14"/>
        <v>3.464968116507944E-17</v>
      </c>
      <c r="L45" s="166">
        <f t="shared" si="15"/>
        <v>6.93282736162667E-2</v>
      </c>
    </row>
    <row r="46" spans="1:12" x14ac:dyDescent="0.25">
      <c r="L46" s="166"/>
    </row>
    <row r="47" spans="1:12" x14ac:dyDescent="0.25">
      <c r="L47" s="166"/>
    </row>
    <row r="49" spans="1:12" x14ac:dyDescent="0.25">
      <c r="A49" s="162" t="s">
        <v>7</v>
      </c>
    </row>
    <row r="50" spans="1:12" x14ac:dyDescent="0.25">
      <c r="B50" s="162" t="s">
        <v>23</v>
      </c>
      <c r="C50" s="162" t="s">
        <v>27</v>
      </c>
      <c r="D50" s="162" t="s">
        <v>24</v>
      </c>
      <c r="E50" s="162" t="s">
        <v>29</v>
      </c>
      <c r="F50" s="162" t="s">
        <v>37</v>
      </c>
      <c r="G50" s="162" t="s">
        <v>39</v>
      </c>
      <c r="H50" s="162" t="s">
        <v>40</v>
      </c>
      <c r="I50" s="162" t="s">
        <v>41</v>
      </c>
      <c r="J50" s="162" t="s">
        <v>42</v>
      </c>
      <c r="K50" s="162" t="s">
        <v>2</v>
      </c>
      <c r="L50" s="162" t="s">
        <v>43</v>
      </c>
    </row>
    <row r="51" spans="1:12" x14ac:dyDescent="0.25">
      <c r="A51" s="167">
        <v>6</v>
      </c>
      <c r="B51" s="170">
        <v>140.56100000000001</v>
      </c>
      <c r="C51" s="162">
        <f>B51-B45</f>
        <v>4.4710000000000036</v>
      </c>
      <c r="D51" s="163">
        <f>$B$12/C51</f>
        <v>1.1183180496533206E-4</v>
      </c>
      <c r="E51" s="163">
        <f>SQRT(2)*D51*$B$13/C51</f>
        <v>8.8433267326456776E-6</v>
      </c>
      <c r="F51" s="163">
        <f>-(4*PI()/3)*$F$27^3*($B$9-$B$8)*($B$6/$E$18)*(1-ABS(D51)/$D$27)</f>
        <v>4.3636809401271457E-16</v>
      </c>
      <c r="G51" s="163">
        <f>F51*3/$F$27</f>
        <v>2.9099414328576654E-9</v>
      </c>
      <c r="H51" s="163">
        <f>F51/$E$18</f>
        <v>1.6581987572483152E-17</v>
      </c>
      <c r="I51" s="162">
        <f>-(4*PI()/3)*$F$27^3*($B$9-$B$8)*($B$6/$E$18)*(-1/$D$27)</f>
        <v>4.9932181993296091E-12</v>
      </c>
      <c r="J51" s="163">
        <f>-(4*PI()/3)*$F$27^3*($B$9-$B$8)*($B$6/$E$18)*(-ABS(D51)/$D$27^2)</f>
        <v>2.2848141548276054E-11</v>
      </c>
      <c r="K51" s="162">
        <f>SQRT(G51^2*$I$27^2+H51^2*$F$18^2+I51^2*E51^2+J51^2*$E$28^2)</f>
        <v>5.1138128692913207E-17</v>
      </c>
      <c r="L51" s="166">
        <f>K51/F51</f>
        <v>0.11719034776961301</v>
      </c>
    </row>
    <row r="52" spans="1:12" x14ac:dyDescent="0.25">
      <c r="A52" s="167">
        <v>7</v>
      </c>
      <c r="B52" s="170">
        <v>144.26</v>
      </c>
      <c r="C52" s="162">
        <f>B52-B51</f>
        <v>3.6989999999999839</v>
      </c>
      <c r="D52" s="163">
        <f t="shared" ref="D52:D55" si="16">$B$12/C52</f>
        <v>1.3517166801838395E-4</v>
      </c>
      <c r="E52" s="163">
        <f t="shared" ref="E52:E54" si="17">SQRT(2)*D52*$B$13/C52</f>
        <v>1.2919816582873275E-5</v>
      </c>
      <c r="F52" s="163">
        <f t="shared" ref="F52:F55" si="18">-(4*PI()/3)*$F$27^3*($B$9-$B$8)*($B$6/$E$18)*(1-ABS(D52)/$D$27)</f>
        <v>5.5290912297907395E-16</v>
      </c>
      <c r="G52" s="163">
        <f t="shared" ref="G52:G55" si="19">F52*3/$F$27</f>
        <v>3.6871008390336659E-9</v>
      </c>
      <c r="H52" s="163">
        <f t="shared" ref="H52:H55" si="20">F52/$E$18</f>
        <v>2.1010546673204809E-17</v>
      </c>
      <c r="I52" s="162">
        <f t="shared" ref="I52:I55" si="21">-(4*PI()/3)*$F$27^3*($B$9-$B$8)*($B$6/$E$18)*(-1/$D$27)</f>
        <v>4.9932181993296091E-12</v>
      </c>
      <c r="J52" s="163">
        <f t="shared" ref="J52:J55" si="22">-(4*PI()/3)*$F$27^3*($B$9-$B$8)*($B$6/$E$18)*(-ABS(D52)/$D$27^2)</f>
        <v>2.7616664196361928E-11</v>
      </c>
      <c r="K52" s="162">
        <f t="shared" ref="K52:K55" si="23">SQRT(G52^2*$I$27^2+H52^2*$F$18^2+I52^2*E52^2+J52^2*$E$28^2)</f>
        <v>7.2223399170611388E-17</v>
      </c>
      <c r="L52" s="166">
        <f t="shared" ref="L52:L55" si="24">K52/F52</f>
        <v>0.13062435790798996</v>
      </c>
    </row>
    <row r="53" spans="1:12" x14ac:dyDescent="0.25">
      <c r="A53" s="167">
        <v>8</v>
      </c>
      <c r="B53" s="170">
        <v>148.25</v>
      </c>
      <c r="C53" s="162">
        <f>B53-B52</f>
        <v>3.9900000000000091</v>
      </c>
      <c r="D53" s="163">
        <f t="shared" si="16"/>
        <v>1.2531328320801978E-4</v>
      </c>
      <c r="E53" s="163">
        <f t="shared" si="17"/>
        <v>1.1103994026208134E-5</v>
      </c>
      <c r="F53" s="163">
        <f t="shared" si="18"/>
        <v>5.0368405652796913E-16</v>
      </c>
      <c r="G53" s="163">
        <f t="shared" si="19"/>
        <v>3.3588411372666798E-9</v>
      </c>
      <c r="H53" s="163">
        <f t="shared" si="20"/>
        <v>1.9139994148062827E-17</v>
      </c>
      <c r="I53" s="162">
        <f t="shared" si="21"/>
        <v>4.9932181993296091E-12</v>
      </c>
      <c r="J53" s="163">
        <f t="shared" si="22"/>
        <v>2.5602516506852651E-11</v>
      </c>
      <c r="K53" s="162">
        <f t="shared" si="23"/>
        <v>6.287506467248031E-17</v>
      </c>
      <c r="L53" s="166">
        <f t="shared" si="24"/>
        <v>0.12483036510207449</v>
      </c>
    </row>
    <row r="54" spans="1:12" x14ac:dyDescent="0.25">
      <c r="A54" s="167">
        <v>9</v>
      </c>
      <c r="B54" s="170">
        <v>152.11500000000001</v>
      </c>
      <c r="C54" s="162">
        <f>B54-B53</f>
        <v>3.8650000000000091</v>
      </c>
      <c r="D54" s="163">
        <f t="shared" si="16"/>
        <v>1.2936610608020669E-4</v>
      </c>
      <c r="E54" s="163">
        <f t="shared" si="17"/>
        <v>1.1833848753559146E-5</v>
      </c>
      <c r="F54" s="163">
        <f t="shared" si="18"/>
        <v>5.2392068545203211E-16</v>
      </c>
      <c r="G54" s="163">
        <f t="shared" si="19"/>
        <v>3.4937900617537685E-9</v>
      </c>
      <c r="H54" s="163">
        <f t="shared" si="20"/>
        <v>1.9908986047177218E-17</v>
      </c>
      <c r="I54" s="162">
        <f t="shared" si="21"/>
        <v>4.9932181993296091E-12</v>
      </c>
      <c r="J54" s="163">
        <f t="shared" si="22"/>
        <v>2.6430540973439087E-11</v>
      </c>
      <c r="K54" s="162">
        <f t="shared" si="23"/>
        <v>6.6639424222262812E-17</v>
      </c>
      <c r="L54" s="166">
        <f t="shared" si="24"/>
        <v>0.12719372621214062</v>
      </c>
    </row>
    <row r="55" spans="1:12" x14ac:dyDescent="0.25">
      <c r="A55" s="167">
        <v>10</v>
      </c>
      <c r="B55" s="170">
        <f>B54+C54</f>
        <v>155.98000000000002</v>
      </c>
      <c r="C55" s="162">
        <f>B55-B54</f>
        <v>3.8650000000000091</v>
      </c>
      <c r="D55" s="163">
        <f t="shared" si="16"/>
        <v>1.2936610608020669E-4</v>
      </c>
      <c r="E55" s="163">
        <f>SQRT(2)*D55*$B$13/C55</f>
        <v>1.1833848753559146E-5</v>
      </c>
      <c r="F55" s="163">
        <f t="shared" si="18"/>
        <v>5.2392068545203211E-16</v>
      </c>
      <c r="G55" s="163">
        <f t="shared" si="19"/>
        <v>3.4937900617537685E-9</v>
      </c>
      <c r="H55" s="163">
        <f t="shared" si="20"/>
        <v>1.9908986047177218E-17</v>
      </c>
      <c r="I55" s="162">
        <f t="shared" si="21"/>
        <v>4.9932181993296091E-12</v>
      </c>
      <c r="J55" s="163">
        <f t="shared" si="22"/>
        <v>2.6430540973439087E-11</v>
      </c>
      <c r="K55" s="162">
        <f t="shared" si="23"/>
        <v>6.6639424222262812E-17</v>
      </c>
      <c r="L55" s="166">
        <f t="shared" si="24"/>
        <v>0.12719372621214062</v>
      </c>
    </row>
    <row r="56" spans="1:12" x14ac:dyDescent="0.25">
      <c r="L56" s="166"/>
    </row>
    <row r="57" spans="1:12" x14ac:dyDescent="0.25">
      <c r="L57" s="166"/>
    </row>
    <row r="59" spans="1:12" x14ac:dyDescent="0.25">
      <c r="B59" s="162" t="s">
        <v>38</v>
      </c>
    </row>
    <row r="60" spans="1:12" x14ac:dyDescent="0.25">
      <c r="A60" s="163"/>
      <c r="B60" s="162" t="s">
        <v>44</v>
      </c>
      <c r="C60" s="162" t="s">
        <v>45</v>
      </c>
    </row>
    <row r="61" spans="1:12" x14ac:dyDescent="0.25">
      <c r="A61" s="162">
        <v>1</v>
      </c>
      <c r="B61" s="163">
        <f>F41</f>
        <v>4.9091683304058624E-16</v>
      </c>
      <c r="C61" s="162">
        <f>K41</f>
        <v>3.3692519998746396E-17</v>
      </c>
    </row>
    <row r="62" spans="1:12" x14ac:dyDescent="0.25">
      <c r="A62" s="162">
        <v>2</v>
      </c>
      <c r="B62" s="163">
        <f t="shared" ref="B62:B65" si="25">F42</f>
        <v>4.892889234058265E-16</v>
      </c>
      <c r="C62" s="162">
        <f t="shared" ref="C62:C65" si="26">K42</f>
        <v>3.3519050725260621E-17</v>
      </c>
    </row>
    <row r="63" spans="1:12" x14ac:dyDescent="0.25">
      <c r="A63" s="162">
        <v>3</v>
      </c>
      <c r="B63" s="163">
        <f t="shared" si="25"/>
        <v>4.7808058448529357E-16</v>
      </c>
      <c r="C63" s="162">
        <f t="shared" si="26"/>
        <v>3.2342261493314247E-17</v>
      </c>
    </row>
    <row r="64" spans="1:12" x14ac:dyDescent="0.25">
      <c r="A64" s="162">
        <v>4</v>
      </c>
      <c r="B64" s="163">
        <f t="shared" si="25"/>
        <v>5.034853898139628E-16</v>
      </c>
      <c r="C64" s="162">
        <f t="shared" si="26"/>
        <v>3.5053831590025179E-17</v>
      </c>
    </row>
    <row r="65" spans="1:3" x14ac:dyDescent="0.25">
      <c r="A65" s="162">
        <v>5</v>
      </c>
      <c r="B65" s="163">
        <f t="shared" si="25"/>
        <v>4.997914899318866E-16</v>
      </c>
      <c r="C65" s="162">
        <f t="shared" si="26"/>
        <v>3.464968116507944E-17</v>
      </c>
    </row>
    <row r="66" spans="1:3" x14ac:dyDescent="0.25">
      <c r="A66" s="162">
        <v>6</v>
      </c>
      <c r="B66" s="163">
        <f>F51</f>
        <v>4.3636809401271457E-16</v>
      </c>
      <c r="C66" s="162">
        <f>K51</f>
        <v>5.1138128692913207E-17</v>
      </c>
    </row>
    <row r="67" spans="1:3" x14ac:dyDescent="0.25">
      <c r="A67" s="162">
        <v>7</v>
      </c>
      <c r="B67" s="163">
        <f t="shared" ref="B67:B70" si="27">F52</f>
        <v>5.5290912297907395E-16</v>
      </c>
      <c r="C67" s="162">
        <f t="shared" ref="C67:C70" si="28">K52</f>
        <v>7.2223399170611388E-17</v>
      </c>
    </row>
    <row r="68" spans="1:3" x14ac:dyDescent="0.25">
      <c r="A68" s="162">
        <v>8</v>
      </c>
      <c r="B68" s="163">
        <f t="shared" si="27"/>
        <v>5.0368405652796913E-16</v>
      </c>
      <c r="C68" s="162">
        <f t="shared" si="28"/>
        <v>6.287506467248031E-17</v>
      </c>
    </row>
    <row r="69" spans="1:3" x14ac:dyDescent="0.25">
      <c r="A69" s="162">
        <v>9</v>
      </c>
      <c r="B69" s="163">
        <f t="shared" si="27"/>
        <v>5.2392068545203211E-16</v>
      </c>
      <c r="C69" s="162">
        <f t="shared" si="28"/>
        <v>6.6639424222262812E-17</v>
      </c>
    </row>
    <row r="70" spans="1:3" x14ac:dyDescent="0.25">
      <c r="A70" s="162">
        <v>10</v>
      </c>
      <c r="B70" s="163">
        <f t="shared" si="27"/>
        <v>5.2392068545203211E-16</v>
      </c>
      <c r="C70" s="162">
        <f t="shared" si="28"/>
        <v>6.6639424222262812E-17</v>
      </c>
    </row>
  </sheetData>
  <mergeCells count="2">
    <mergeCell ref="A1:C2"/>
    <mergeCell ref="A14:C15"/>
  </mergeCells>
  <conditionalFormatting sqref="C32:G36">
    <cfRule type="cellIs" dxfId="8" priority="5" operator="notBetween">
      <formula>-1.96</formula>
      <formula>1.96</formula>
    </cfRule>
  </conditionalFormatting>
  <conditionalFormatting sqref="L41:L47">
    <cfRule type="cellIs" priority="4" operator="greaterThan">
      <formula>0.04</formula>
    </cfRule>
  </conditionalFormatting>
  <conditionalFormatting sqref="L51:L57">
    <cfRule type="cellIs" priority="2" operator="greaterThan">
      <formula>0.04</formula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3" operator="greaterThan" id="{7A237712-2455-458C-A398-33C94FE932C2}">
            <xm:f>Dati!$B$14</xm:f>
            <x14:dxf>
              <fill>
                <patternFill>
                  <bgColor theme="5"/>
                </patternFill>
              </fill>
            </x14:dxf>
          </x14:cfRule>
          <xm:sqref>L41:L47</xm:sqref>
        </x14:conditionalFormatting>
        <x14:conditionalFormatting xmlns:xm="http://schemas.microsoft.com/office/excel/2006/main">
          <x14:cfRule type="cellIs" priority="1" operator="greaterThan" id="{D7118B34-D1E4-4C79-BC59-8E4EEC0070C3}">
            <xm:f>Dati!$B$14</xm:f>
            <x14:dxf>
              <fill>
                <patternFill>
                  <bgColor theme="5"/>
                </patternFill>
              </fill>
            </x14:dxf>
          </x14:cfRule>
          <xm:sqref>L51:L57</xm:sqref>
        </x14:conditionalFormatting>
      </x14:conditionalFormatting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topLeftCell="A13" workbookViewId="0">
      <selection activeCell="K53" sqref="K53"/>
    </sheetView>
  </sheetViews>
  <sheetFormatPr defaultRowHeight="15" x14ac:dyDescent="0.25"/>
  <cols>
    <col min="1" max="1" width="13.140625" style="170" customWidth="1"/>
    <col min="2" max="2" width="9.140625" style="170"/>
    <col min="3" max="5" width="12" style="170" customWidth="1"/>
    <col min="6" max="7" width="12.140625" style="170" customWidth="1"/>
    <col min="8" max="9" width="12" style="170" customWidth="1"/>
    <col min="10" max="10" width="9.140625" style="170"/>
    <col min="11" max="11" width="12" style="170" customWidth="1"/>
    <col min="12" max="16384" width="9.140625" style="170"/>
  </cols>
  <sheetData>
    <row r="1" spans="1:5" x14ac:dyDescent="0.25">
      <c r="A1" s="187" t="str">
        <f>[1]Dati!A1</f>
        <v>Costanti varie</v>
      </c>
      <c r="B1" s="187"/>
      <c r="C1" s="187"/>
    </row>
    <row r="2" spans="1:5" x14ac:dyDescent="0.25">
      <c r="A2" s="187"/>
      <c r="B2" s="187"/>
      <c r="C2" s="187"/>
    </row>
    <row r="4" spans="1:5" x14ac:dyDescent="0.25">
      <c r="B4" s="170" t="s">
        <v>1</v>
      </c>
      <c r="C4" s="170" t="s">
        <v>2</v>
      </c>
    </row>
    <row r="5" spans="1:5" x14ac:dyDescent="0.25">
      <c r="A5" s="170" t="str">
        <f>[1]Dati!A5</f>
        <v>d</v>
      </c>
      <c r="B5" s="171">
        <v>7.6</v>
      </c>
      <c r="C5" s="170">
        <f>[1]Dati!C5</f>
        <v>1.0000000000000001E-5</v>
      </c>
    </row>
    <row r="6" spans="1:5" x14ac:dyDescent="0.25">
      <c r="A6" s="170" t="str">
        <f>[1]Dati!A6</f>
        <v>g</v>
      </c>
      <c r="B6" s="170">
        <f>[1]Dati!B6</f>
        <v>9.8059999999999992</v>
      </c>
      <c r="C6" s="170">
        <f>[1]Dati!C6</f>
        <v>0</v>
      </c>
    </row>
    <row r="7" spans="1:5" x14ac:dyDescent="0.25">
      <c r="A7" s="170" t="str">
        <f>[1]Dati!A7</f>
        <v>pressione</v>
      </c>
      <c r="B7" s="170">
        <f>[1]Dati!B7</f>
        <v>101325</v>
      </c>
      <c r="C7" s="170">
        <f>[1]Dati!C7</f>
        <v>0</v>
      </c>
    </row>
    <row r="8" spans="1:5" x14ac:dyDescent="0.25">
      <c r="A8" s="170" t="str">
        <f>[1]Dati!A8</f>
        <v>densità aria</v>
      </c>
      <c r="B8" s="170">
        <v>0</v>
      </c>
      <c r="C8" s="170">
        <f>[1]Dati!C8</f>
        <v>0</v>
      </c>
    </row>
    <row r="9" spans="1:5" x14ac:dyDescent="0.25">
      <c r="A9" s="170" t="str">
        <f>[1]Dati!A9</f>
        <v>densità olio</v>
      </c>
      <c r="B9" s="170">
        <v>858.7</v>
      </c>
      <c r="C9" s="170">
        <f>[1]Dati!C9</f>
        <v>0</v>
      </c>
    </row>
    <row r="10" spans="1:5" x14ac:dyDescent="0.25">
      <c r="A10" s="170" t="str">
        <f>[1]Dati!A10</f>
        <v>cst corr vis</v>
      </c>
      <c r="B10" s="170">
        <f>[1]Dati!B10</f>
        <v>8.2000000000000007E-3</v>
      </c>
      <c r="C10" s="170">
        <f>[1]Dati!C10</f>
        <v>0</v>
      </c>
    </row>
    <row r="11" spans="1:5" x14ac:dyDescent="0.25">
      <c r="A11" s="170" t="str">
        <f>[1]Dati!A11</f>
        <v>e</v>
      </c>
      <c r="B11" s="170">
        <f>[1]Dati!B11</f>
        <v>1.6021766200000001E-19</v>
      </c>
      <c r="C11" s="170">
        <f>[1]Dati!C11</f>
        <v>0</v>
      </c>
    </row>
    <row r="12" spans="1:5" x14ac:dyDescent="0.25">
      <c r="A12" s="170" t="str">
        <f>[1]Dati!A12</f>
        <v>deltax</v>
      </c>
      <c r="B12" s="170">
        <f>[1]Dati!B12</f>
        <v>5.0000000000000001E-4</v>
      </c>
      <c r="C12" s="170">
        <f>[1]Dati!C12</f>
        <v>0</v>
      </c>
    </row>
    <row r="13" spans="1:5" x14ac:dyDescent="0.25">
      <c r="A13" s="170" t="s">
        <v>30</v>
      </c>
      <c r="B13" s="170">
        <f>Dati!B13</f>
        <v>0.25</v>
      </c>
    </row>
    <row r="14" spans="1:5" x14ac:dyDescent="0.25">
      <c r="A14" s="187" t="s">
        <v>17</v>
      </c>
      <c r="B14" s="187"/>
      <c r="C14" s="187"/>
      <c r="D14" s="173"/>
    </row>
    <row r="15" spans="1:5" x14ac:dyDescent="0.25">
      <c r="A15" s="187"/>
      <c r="B15" s="187"/>
      <c r="C15" s="187"/>
      <c r="D15" s="173"/>
    </row>
    <row r="16" spans="1:5" x14ac:dyDescent="0.25">
      <c r="A16" s="170" t="s">
        <v>18</v>
      </c>
      <c r="B16" s="170">
        <v>200</v>
      </c>
      <c r="C16" s="170">
        <f>B16/100</f>
        <v>2</v>
      </c>
      <c r="D16" s="170" t="s">
        <v>19</v>
      </c>
      <c r="E16" s="170">
        <f>(1.8+(B18-15)*0.004765)*0.00001</f>
        <v>1.8285900000000001E-5</v>
      </c>
    </row>
    <row r="17" spans="1:10" x14ac:dyDescent="0.25">
      <c r="A17" s="170" t="s">
        <v>20</v>
      </c>
      <c r="E17" s="172"/>
    </row>
    <row r="18" spans="1:10" x14ac:dyDescent="0.25">
      <c r="A18" s="170" t="s">
        <v>21</v>
      </c>
      <c r="B18" s="170">
        <v>21</v>
      </c>
      <c r="C18" s="170">
        <v>0.5</v>
      </c>
      <c r="D18" s="170" t="s">
        <v>22</v>
      </c>
      <c r="E18" s="171">
        <f>B16/B5</f>
        <v>26.315789473684212</v>
      </c>
      <c r="F18" s="170">
        <f>SQRT((C16/B5)^2+(B16*C5/B5^2)^2)</f>
        <v>0.26315789701487097</v>
      </c>
      <c r="G18" s="171"/>
    </row>
    <row r="21" spans="1:10" x14ac:dyDescent="0.25">
      <c r="B21" s="170" t="s">
        <v>23</v>
      </c>
      <c r="C21" s="170" t="s">
        <v>27</v>
      </c>
      <c r="D21" s="170" t="s">
        <v>24</v>
      </c>
      <c r="E21" s="170" t="s">
        <v>29</v>
      </c>
      <c r="F21" s="170" t="s">
        <v>25</v>
      </c>
      <c r="G21" s="170" t="s">
        <v>26</v>
      </c>
      <c r="H21" s="170" t="s">
        <v>28</v>
      </c>
      <c r="I21" s="170" t="s">
        <v>31</v>
      </c>
      <c r="J21" s="170" t="s">
        <v>32</v>
      </c>
    </row>
    <row r="22" spans="1:10" x14ac:dyDescent="0.25">
      <c r="A22" s="170">
        <v>1</v>
      </c>
      <c r="B22" s="176">
        <v>17.59</v>
      </c>
      <c r="C22" s="170">
        <f>B22</f>
        <v>17.59</v>
      </c>
      <c r="D22" s="171">
        <f>B12/B22</f>
        <v>2.8425241614553725E-5</v>
      </c>
      <c r="E22" s="171">
        <f>SQRT(2)*D22*$B$13/C22</f>
        <v>5.7133829171452494E-7</v>
      </c>
      <c r="F22" s="5">
        <f>(($B$10/(2*$B$7))^2+9*$E$16*D22/(2*$B$6*($B$9-$B$8)))^(1/2)-$B$10/(2*$B$7)</f>
        <v>4.8813475365042559E-7</v>
      </c>
      <c r="G22" s="170">
        <f>(($B$10/(2*$B$7))^2+9*$E$16*D22/(2*$B$6*($B$9-$B$8)))^(-1/2)*(9*$E$16)/(4*$B$6*$B$9)</f>
        <v>9.2435648388834203E-3</v>
      </c>
      <c r="H22" s="170">
        <f>(($B$10/(2*$B$7))^2+9*$E$16*D22/(2*$B$6*($B$9-$B$8)))^(-1/2)*((9*D22)/(4*$B$6*$B$9))*0.00000004765</f>
        <v>6.8468406646809025E-10</v>
      </c>
      <c r="I22" s="170">
        <f>SQRT(G22^2*E22^2+H22^2*$C$18^2+$F$28^2)</f>
        <v>1.8765065694371167E-8</v>
      </c>
      <c r="J22" s="171">
        <f>I22/F22</f>
        <v>3.8442388201290915E-2</v>
      </c>
    </row>
    <row r="23" spans="1:10" x14ac:dyDescent="0.25">
      <c r="A23" s="170">
        <v>2</v>
      </c>
      <c r="B23" s="176">
        <v>37.033000000000001</v>
      </c>
      <c r="C23" s="170">
        <f>B23-B22</f>
        <v>19.443000000000001</v>
      </c>
      <c r="D23" s="171">
        <f>$B$12/(B23-B22)</f>
        <v>2.5716196060278763E-5</v>
      </c>
      <c r="E23" s="171">
        <f t="shared" ref="E23:E25" si="0">SQRT(2)*D23*$B$13/C23</f>
        <v>4.676257938730106E-7</v>
      </c>
      <c r="F23" s="5">
        <f>(($B$10/(2*$B$7))^2+9*E16*D23/(2*$B$6*($B$9-$B$8)))^(1/2)-$B$10/(2*$B$7)</f>
        <v>4.6247049627136329E-7</v>
      </c>
      <c r="G23" s="170">
        <f t="shared" ref="G23:G27" si="1">(($B$10/(2*$B$7))^2+9*$E$16*D23/(2*$B$6*($B$9-$B$8)))^(-1/2)*(9*$E$16)/(4*$B$6*$B$9)</f>
        <v>9.7152550843948807E-3</v>
      </c>
      <c r="H23" s="170">
        <f t="shared" ref="H23:H27" si="2">(($B$10/(2*$B$7))^2+9*$E$16*D23/(2*$B$6*($B$9-$B$8)))^(-1/2)*((9*D23)/(4*$B$6*$B$9))*0.00000004765</f>
        <v>6.5103974240589921E-10</v>
      </c>
      <c r="I23" s="170">
        <f t="shared" ref="I23:I27" si="3">SQRT(G23^2*E23^2+H23^2*$C$18^2+$F$28^2)</f>
        <v>1.8570545175231859E-8</v>
      </c>
      <c r="J23" s="171">
        <f t="shared" ref="J23:J27" si="4">I23/F23</f>
        <v>4.0155091676021729E-2</v>
      </c>
    </row>
    <row r="24" spans="1:10" x14ac:dyDescent="0.25">
      <c r="A24" s="170">
        <v>3</v>
      </c>
      <c r="B24" s="176">
        <v>53.688000000000002</v>
      </c>
      <c r="C24" s="170">
        <f t="shared" ref="C24:C26" si="5">B24-B23</f>
        <v>16.655000000000001</v>
      </c>
      <c r="D24" s="171">
        <f>$B$12/(B24-B23)</f>
        <v>3.0021014710297206E-5</v>
      </c>
      <c r="E24" s="171">
        <f t="shared" si="0"/>
        <v>6.3728799398835932E-7</v>
      </c>
      <c r="F24" s="5">
        <f>(($B$10/(2*$B$7))^2+9*E16*D24/(2*$B$6*($B$9-$B$8)))^(1/2)-$B$10/(2*$B$7)</f>
        <v>5.0268512663737494E-7</v>
      </c>
      <c r="G24" s="170">
        <f t="shared" si="1"/>
        <v>8.9959397471581597E-3</v>
      </c>
      <c r="H24" s="170">
        <f t="shared" si="2"/>
        <v>7.0375010042357903E-10</v>
      </c>
      <c r="I24" s="170">
        <f t="shared" si="3"/>
        <v>1.889736880047664E-8</v>
      </c>
      <c r="J24" s="171">
        <f t="shared" si="4"/>
        <v>3.7592854451229368E-2</v>
      </c>
    </row>
    <row r="25" spans="1:10" x14ac:dyDescent="0.25">
      <c r="A25" s="170">
        <v>4</v>
      </c>
      <c r="B25" s="176">
        <v>71.561000000000007</v>
      </c>
      <c r="C25" s="170">
        <f t="shared" si="5"/>
        <v>17.873000000000005</v>
      </c>
      <c r="D25" s="171">
        <f>$B$12/(B25-B24)</f>
        <v>2.797515805964303E-5</v>
      </c>
      <c r="E25" s="171">
        <f t="shared" si="0"/>
        <v>5.5338846217028701E-7</v>
      </c>
      <c r="F25" s="5">
        <f>(($B$10/(2*$B$7))^2+9*E16*D25/(2*$B$6*($B$9-$B$8)))^(1/2)-$B$10/(2*$B$7)</f>
        <v>4.8395787470270257E-7</v>
      </c>
      <c r="G25" s="170">
        <f t="shared" si="1"/>
        <v>9.3171873630258015E-3</v>
      </c>
      <c r="H25" s="170">
        <f t="shared" si="2"/>
        <v>6.7920979842888118E-10</v>
      </c>
      <c r="I25" s="170">
        <f t="shared" si="3"/>
        <v>1.8730171034165691E-8</v>
      </c>
      <c r="J25" s="171">
        <f t="shared" si="4"/>
        <v>3.8702068946954764E-2</v>
      </c>
    </row>
    <row r="26" spans="1:10" x14ac:dyDescent="0.25">
      <c r="A26" s="170">
        <v>5</v>
      </c>
      <c r="B26" s="176">
        <v>91.186000000000007</v>
      </c>
      <c r="C26" s="170">
        <f t="shared" si="5"/>
        <v>19.625</v>
      </c>
      <c r="D26" s="171">
        <f>$B$12/(B26-B25)</f>
        <v>2.5477707006369428E-5</v>
      </c>
      <c r="E26" s="171">
        <f>SQRT(2)*D26*$B$13/C26</f>
        <v>4.5899259600733346E-7</v>
      </c>
      <c r="F26" s="5">
        <f>(($B$10/(2*$B$7))^2+9*E16*D26/(2*$B$6*($B$9-$B$8)))^(1/2)-$B$10/(2*$B$7)</f>
        <v>4.6014815246391748E-7</v>
      </c>
      <c r="G26" s="170">
        <f t="shared" si="1"/>
        <v>9.7603242441325448E-3</v>
      </c>
      <c r="H26" s="170">
        <f t="shared" si="2"/>
        <v>6.4799424516800363E-10</v>
      </c>
      <c r="I26" s="170">
        <f t="shared" si="3"/>
        <v>1.8555161510357575E-8</v>
      </c>
      <c r="J26" s="171">
        <f t="shared" si="4"/>
        <v>4.0324320354220219E-2</v>
      </c>
    </row>
    <row r="27" spans="1:10" x14ac:dyDescent="0.25">
      <c r="A27" s="7" t="s">
        <v>34</v>
      </c>
      <c r="B27" s="7"/>
      <c r="C27" s="7">
        <f>AVERAGE(C22:C26)</f>
        <v>18.237200000000001</v>
      </c>
      <c r="D27" s="7">
        <f>AVERAGE(D22:D26)</f>
        <v>2.7523063490228429E-5</v>
      </c>
      <c r="E27" s="8">
        <f>SQRT(2)*D27*$B$13/C27</f>
        <v>5.3357272040029189E-7</v>
      </c>
      <c r="F27" s="9">
        <f>AVERAGE(F22:F26)</f>
        <v>4.7947928074515673E-7</v>
      </c>
      <c r="G27" s="7">
        <f t="shared" si="1"/>
        <v>9.3929385935967429E-3</v>
      </c>
      <c r="H27" s="7">
        <f t="shared" si="2"/>
        <v>6.7366629573503409E-10</v>
      </c>
      <c r="I27" s="7">
        <f t="shared" si="3"/>
        <v>1.8690937544525021E-8</v>
      </c>
      <c r="J27" s="8">
        <f t="shared" si="4"/>
        <v>3.898174185019531E-2</v>
      </c>
    </row>
    <row r="28" spans="1:10" x14ac:dyDescent="0.25">
      <c r="A28" s="170" t="s">
        <v>35</v>
      </c>
      <c r="C28" s="6">
        <f>_xlfn.STDEV.S(C22:C26)</f>
        <v>1.2683462461015915</v>
      </c>
      <c r="D28" s="171">
        <f>_xlfn.STDEV.S(D22:D26)</f>
        <v>1.9174415389409754E-6</v>
      </c>
      <c r="E28" s="8">
        <f>SQRT(2)*D28*$B$13/C28</f>
        <v>5.34489662771996E-7</v>
      </c>
      <c r="F28" s="171">
        <f>_xlfn.STDEV.S(F22:F26)</f>
        <v>1.8003316142626856E-8</v>
      </c>
    </row>
    <row r="30" spans="1:10" x14ac:dyDescent="0.25">
      <c r="A30" s="170" t="s">
        <v>31</v>
      </c>
      <c r="C30" s="170">
        <f t="array" ref="C30:G31">TRANSPOSE(A32:B36)</f>
        <v>1.8765065694371167E-8</v>
      </c>
      <c r="D30" s="170">
        <v>1.8570545175231859E-8</v>
      </c>
      <c r="E30" s="170">
        <v>1.889736880047664E-8</v>
      </c>
      <c r="F30" s="170">
        <v>1.8730171034165691E-8</v>
      </c>
      <c r="G30" s="170">
        <v>1.8555161510357575E-8</v>
      </c>
    </row>
    <row r="31" spans="1:10" x14ac:dyDescent="0.25">
      <c r="B31" s="170" t="s">
        <v>25</v>
      </c>
      <c r="C31" s="170">
        <v>4.8813475365042559E-7</v>
      </c>
      <c r="D31" s="170">
        <v>4.6247049627136329E-7</v>
      </c>
      <c r="E31" s="170">
        <v>5.0268512663737494E-7</v>
      </c>
      <c r="F31" s="170">
        <v>4.8395787470270257E-7</v>
      </c>
      <c r="G31" s="170">
        <v>4.6014815246391748E-7</v>
      </c>
    </row>
    <row r="32" spans="1:10" x14ac:dyDescent="0.25">
      <c r="A32" s="170">
        <f>I22</f>
        <v>1.8765065694371167E-8</v>
      </c>
      <c r="B32" s="5">
        <f>F22</f>
        <v>4.8813475365042559E-7</v>
      </c>
      <c r="C32" s="170">
        <f t="shared" ref="C32:G36" si="6">(C$31-$B32)/SQRT(C$30^2+$A32^2)</f>
        <v>0</v>
      </c>
      <c r="D32" s="170">
        <f t="shared" si="6"/>
        <v>-0.97210806022146667</v>
      </c>
      <c r="E32" s="170">
        <f t="shared" si="6"/>
        <v>0.54635894169785393</v>
      </c>
      <c r="F32" s="170">
        <f t="shared" si="6"/>
        <v>-0.15753991209646526</v>
      </c>
      <c r="G32" s="170">
        <f t="shared" si="6"/>
        <v>-1.0605081458796608</v>
      </c>
    </row>
    <row r="33" spans="1:12" x14ac:dyDescent="0.25">
      <c r="A33" s="170">
        <f>I23</f>
        <v>1.8570545175231859E-8</v>
      </c>
      <c r="B33" s="5">
        <f>F23</f>
        <v>4.6247049627136329E-7</v>
      </c>
      <c r="C33" s="170">
        <f t="shared" si="6"/>
        <v>0.97210806022146667</v>
      </c>
      <c r="D33" s="170">
        <f t="shared" si="6"/>
        <v>0</v>
      </c>
      <c r="E33" s="170">
        <f t="shared" si="6"/>
        <v>1.5178296883547646</v>
      </c>
      <c r="F33" s="170">
        <f t="shared" si="6"/>
        <v>0.81466166969040577</v>
      </c>
      <c r="G33" s="170">
        <f t="shared" si="6"/>
        <v>-8.8464035306880198E-2</v>
      </c>
    </row>
    <row r="34" spans="1:12" x14ac:dyDescent="0.25">
      <c r="A34" s="170">
        <f>I24</f>
        <v>1.889736880047664E-8</v>
      </c>
      <c r="B34" s="5">
        <f>F24</f>
        <v>5.0268512663737494E-7</v>
      </c>
      <c r="C34" s="170">
        <f t="shared" si="6"/>
        <v>-0.54635894169785393</v>
      </c>
      <c r="D34" s="170">
        <f t="shared" si="6"/>
        <v>-1.5178296883547646</v>
      </c>
      <c r="E34" s="170">
        <f t="shared" si="6"/>
        <v>0</v>
      </c>
      <c r="F34" s="170">
        <f t="shared" si="6"/>
        <v>-0.70384809451769226</v>
      </c>
      <c r="G34" s="170">
        <f t="shared" si="6"/>
        <v>-1.6061359356651905</v>
      </c>
    </row>
    <row r="35" spans="1:12" x14ac:dyDescent="0.25">
      <c r="A35" s="170">
        <f>I25</f>
        <v>1.8730171034165691E-8</v>
      </c>
      <c r="B35" s="5">
        <f>F25</f>
        <v>4.8395787470270257E-7</v>
      </c>
      <c r="C35" s="170">
        <f t="shared" si="6"/>
        <v>0.15753991209646526</v>
      </c>
      <c r="D35" s="170">
        <f t="shared" si="6"/>
        <v>-0.81466166969040577</v>
      </c>
      <c r="E35" s="170">
        <f t="shared" si="6"/>
        <v>0.70384809451769226</v>
      </c>
      <c r="F35" s="170">
        <f t="shared" si="6"/>
        <v>0</v>
      </c>
      <c r="G35" s="170">
        <f t="shared" si="6"/>
        <v>-0.90308061881644874</v>
      </c>
    </row>
    <row r="36" spans="1:12" x14ac:dyDescent="0.25">
      <c r="A36" s="170">
        <f>I26</f>
        <v>1.8555161510357575E-8</v>
      </c>
      <c r="B36" s="5">
        <f>F26</f>
        <v>4.6014815246391748E-7</v>
      </c>
      <c r="C36" s="170">
        <f t="shared" si="6"/>
        <v>1.0605081458796608</v>
      </c>
      <c r="D36" s="170">
        <f t="shared" si="6"/>
        <v>8.8464035306880198E-2</v>
      </c>
      <c r="E36" s="170">
        <f t="shared" si="6"/>
        <v>1.6061359356651905</v>
      </c>
      <c r="F36" s="170">
        <f t="shared" si="6"/>
        <v>0.90308061881644874</v>
      </c>
      <c r="G36" s="170">
        <f t="shared" si="6"/>
        <v>0</v>
      </c>
    </row>
    <row r="39" spans="1:12" x14ac:dyDescent="0.25">
      <c r="A39" s="170" t="s">
        <v>7</v>
      </c>
    </row>
    <row r="40" spans="1:12" x14ac:dyDescent="0.25">
      <c r="B40" s="170" t="s">
        <v>36</v>
      </c>
      <c r="C40" s="170" t="s">
        <v>27</v>
      </c>
      <c r="D40" s="170" t="s">
        <v>24</v>
      </c>
      <c r="E40" s="170" t="s">
        <v>29</v>
      </c>
      <c r="F40" s="170" t="s">
        <v>37</v>
      </c>
      <c r="G40" s="170" t="s">
        <v>39</v>
      </c>
      <c r="H40" s="170" t="s">
        <v>40</v>
      </c>
      <c r="I40" s="170" t="s">
        <v>41</v>
      </c>
      <c r="J40" s="170" t="s">
        <v>42</v>
      </c>
      <c r="K40" s="170" t="s">
        <v>2</v>
      </c>
      <c r="L40" s="170" t="s">
        <v>43</v>
      </c>
    </row>
    <row r="41" spans="1:12" x14ac:dyDescent="0.25">
      <c r="A41" s="175">
        <v>1</v>
      </c>
      <c r="B41" s="177">
        <v>96.070499999999996</v>
      </c>
      <c r="C41" s="170">
        <f>B41-B26</f>
        <v>4.8844999999999885</v>
      </c>
      <c r="D41" s="171">
        <f>$B$12/C41</f>
        <v>1.0236462278636527E-4</v>
      </c>
      <c r="E41" s="171">
        <f>SQRT(2)*D41*$B$13/C41</f>
        <v>7.4094297190953061E-6</v>
      </c>
      <c r="F41" s="171">
        <f>(4*PI()/3)*$F$27^3*($B$9-$B$8)*($B$6/$E$18)*(1+ABS(D41)/$D$27)</f>
        <v>6.9724643431069028E-16</v>
      </c>
      <c r="G41" s="171">
        <f>F41*3/$F$27</f>
        <v>4.3625228178396107E-9</v>
      </c>
      <c r="H41" s="171">
        <f>F41/$E$18</f>
        <v>2.6495364503806227E-17</v>
      </c>
      <c r="I41" s="170">
        <f>(4*PI()/3)*$F$27^3*($B$9-$B$8)*($B$6/$E$18)*(1/$D$27)</f>
        <v>5.3680718649950817E-12</v>
      </c>
      <c r="J41" s="171">
        <f>(4*PI()/3)*$F$27^3*($B$9-$B$8)*($B$6/$E$18)*(ABS(D41)/$D$27^2)</f>
        <v>1.9965097698714103E-11</v>
      </c>
      <c r="K41" s="170">
        <f>SQRT(G41^2*$I$27^2+H41^2*$F$18^2+I41^2*E41^2+J41^2*$E$28^2)</f>
        <v>9.1614412662399312E-17</v>
      </c>
      <c r="L41" s="174">
        <f>K41/F41</f>
        <v>0.13139459472886497</v>
      </c>
    </row>
    <row r="42" spans="1:12" x14ac:dyDescent="0.25">
      <c r="A42" s="175">
        <v>2</v>
      </c>
      <c r="B42" s="177">
        <v>100.955</v>
      </c>
      <c r="C42" s="170">
        <f>B42-B41</f>
        <v>4.8845000000000027</v>
      </c>
      <c r="D42" s="171">
        <f t="shared" ref="D42:D45" si="7">$B$12/C42</f>
        <v>1.0236462278636497E-4</v>
      </c>
      <c r="E42" s="171">
        <f t="shared" ref="E42:E44" si="8">SQRT(2)*D42*$B$13/C42</f>
        <v>7.4094297190952621E-6</v>
      </c>
      <c r="F42" s="171">
        <f t="shared" ref="F42:F45" si="9">(4*PI()/3)*$F$27^3*($B$9-$B$8)*($B$6/$E$18)*(1+ABS(D42)/$D$27)</f>
        <v>6.972464343106887E-16</v>
      </c>
      <c r="G42" s="171">
        <f t="shared" ref="G42:G45" si="10">F42*3/$F$27</f>
        <v>4.3625228178396008E-9</v>
      </c>
      <c r="H42" s="171">
        <f t="shared" ref="H42:H45" si="11">F42/$E$18</f>
        <v>2.6495364503806169E-17</v>
      </c>
      <c r="I42" s="170">
        <f t="shared" ref="I42:I45" si="12">(4*PI()/3)*$F$27^3*($B$9-$B$8)*($B$6/$E$18)*(1/$D$27)</f>
        <v>5.3680718649950817E-12</v>
      </c>
      <c r="J42" s="171">
        <f t="shared" ref="J42:J45" si="13">(4*PI()/3)*$F$27^3*($B$9-$B$8)*($B$6/$E$18)*(ABS(D42)/$D$27^2)</f>
        <v>1.9965097698714048E-11</v>
      </c>
      <c r="K42" s="170">
        <f t="shared" ref="K42:K45" si="14">SQRT(G42^2*$I$27^2+H42^2*$F$18^2+I42^2*E42^2+J42^2*$E$28^2)</f>
        <v>9.1614412662399028E-17</v>
      </c>
      <c r="L42" s="174">
        <f t="shared" ref="L42:L45" si="15">K42/F42</f>
        <v>0.13139459472886486</v>
      </c>
    </row>
    <row r="43" spans="1:12" x14ac:dyDescent="0.25">
      <c r="A43" s="175">
        <v>3</v>
      </c>
      <c r="B43" s="177">
        <v>105.765</v>
      </c>
      <c r="C43" s="170">
        <f>B43-B42</f>
        <v>4.8100000000000023</v>
      </c>
      <c r="D43" s="171">
        <f t="shared" si="7"/>
        <v>1.039501039501039E-4</v>
      </c>
      <c r="E43" s="171">
        <f t="shared" si="8"/>
        <v>7.640730084008831E-6</v>
      </c>
      <c r="F43" s="171">
        <f t="shared" si="9"/>
        <v>7.057574111382353E-16</v>
      </c>
      <c r="G43" s="171">
        <f t="shared" si="10"/>
        <v>4.4157741917946111E-9</v>
      </c>
      <c r="H43" s="171">
        <f t="shared" si="11"/>
        <v>2.681878162325294E-17</v>
      </c>
      <c r="I43" s="170">
        <f t="shared" si="12"/>
        <v>5.3680718649950817E-12</v>
      </c>
      <c r="J43" s="171">
        <f t="shared" si="13"/>
        <v>2.0274328421906191E-11</v>
      </c>
      <c r="K43" s="170">
        <f t="shared" si="14"/>
        <v>9.3067546317284584E-17</v>
      </c>
      <c r="L43" s="174">
        <f t="shared" si="15"/>
        <v>0.1318690315517716</v>
      </c>
    </row>
    <row r="44" spans="1:12" x14ac:dyDescent="0.25">
      <c r="A44" s="175">
        <v>4</v>
      </c>
      <c r="B44" s="177">
        <v>110.501</v>
      </c>
      <c r="C44" s="170">
        <f>B44-B43</f>
        <v>4.7360000000000042</v>
      </c>
      <c r="D44" s="171">
        <f t="shared" si="7"/>
        <v>1.0557432432432424E-4</v>
      </c>
      <c r="E44" s="171">
        <f t="shared" si="8"/>
        <v>7.8813683117522681E-6</v>
      </c>
      <c r="F44" s="171">
        <f t="shared" si="9"/>
        <v>7.1447634283163939E-16</v>
      </c>
      <c r="G44" s="171">
        <f t="shared" si="10"/>
        <v>4.4703266951677742E-9</v>
      </c>
      <c r="H44" s="171">
        <f t="shared" si="11"/>
        <v>2.7150101027602295E-17</v>
      </c>
      <c r="I44" s="170">
        <f t="shared" si="12"/>
        <v>5.3680718649950817E-12</v>
      </c>
      <c r="J44" s="171">
        <f t="shared" si="13"/>
        <v>2.0591114803498467E-11</v>
      </c>
      <c r="K44" s="170">
        <f t="shared" si="14"/>
        <v>9.4570029296212834E-17</v>
      </c>
      <c r="L44" s="174">
        <f t="shared" si="15"/>
        <v>0.13236271605776245</v>
      </c>
    </row>
    <row r="45" spans="1:12" x14ac:dyDescent="0.25">
      <c r="A45" s="175">
        <v>5</v>
      </c>
      <c r="B45" s="177">
        <v>115.755</v>
      </c>
      <c r="C45" s="170">
        <f>B45-B44</f>
        <v>5.2539999999999907</v>
      </c>
      <c r="D45" s="171">
        <f t="shared" si="7"/>
        <v>9.516558812333477E-5</v>
      </c>
      <c r="E45" s="171">
        <f>SQRT(2)*D45*$B$13/C45</f>
        <v>6.4039049008009232E-6</v>
      </c>
      <c r="F45" s="171">
        <f t="shared" si="9"/>
        <v>6.5860149888095211E-16</v>
      </c>
      <c r="G45" s="171">
        <f t="shared" si="10"/>
        <v>4.1207296665087739E-9</v>
      </c>
      <c r="H45" s="171">
        <f t="shared" si="11"/>
        <v>2.5026856957476177E-17</v>
      </c>
      <c r="I45" s="170">
        <f t="shared" si="12"/>
        <v>5.3680718649950817E-12</v>
      </c>
      <c r="J45" s="171">
        <f t="shared" si="13"/>
        <v>1.8561004893294441E-11</v>
      </c>
      <c r="K45" s="170">
        <f t="shared" si="14"/>
        <v>8.5180244510808805E-17</v>
      </c>
      <c r="L45" s="174">
        <f t="shared" si="15"/>
        <v>0.12933502984056505</v>
      </c>
    </row>
    <row r="46" spans="1:12" x14ac:dyDescent="0.25">
      <c r="L46" s="174"/>
    </row>
    <row r="47" spans="1:12" x14ac:dyDescent="0.25">
      <c r="L47" s="174"/>
    </row>
    <row r="49" spans="1:12" x14ac:dyDescent="0.25">
      <c r="A49" s="170" t="s">
        <v>7</v>
      </c>
    </row>
    <row r="50" spans="1:12" x14ac:dyDescent="0.25">
      <c r="B50" s="170" t="s">
        <v>23</v>
      </c>
      <c r="C50" s="170" t="s">
        <v>27</v>
      </c>
      <c r="D50" s="170" t="s">
        <v>24</v>
      </c>
      <c r="E50" s="170" t="s">
        <v>29</v>
      </c>
      <c r="F50" s="170" t="s">
        <v>37</v>
      </c>
      <c r="G50" s="170" t="s">
        <v>39</v>
      </c>
      <c r="H50" s="170" t="s">
        <v>40</v>
      </c>
      <c r="I50" s="170" t="s">
        <v>41</v>
      </c>
      <c r="J50" s="170" t="s">
        <v>42</v>
      </c>
      <c r="K50" s="170" t="s">
        <v>2</v>
      </c>
      <c r="L50" s="170" t="s">
        <v>43</v>
      </c>
    </row>
    <row r="51" spans="1:12" x14ac:dyDescent="0.25">
      <c r="A51" s="175">
        <v>6</v>
      </c>
      <c r="B51" s="178">
        <v>119.25700000000001</v>
      </c>
      <c r="C51" s="170">
        <f>B51-B45</f>
        <v>3.5020000000000095</v>
      </c>
      <c r="D51" s="171">
        <f>$B$12/C51</f>
        <v>1.4277555682467124E-4</v>
      </c>
      <c r="E51" s="171">
        <f>SQRT(2)*D51*$B$13/C51</f>
        <v>1.4414272475501146E-5</v>
      </c>
      <c r="F51" s="171">
        <f>-(4*PI()/3)*$F$27^3*($B$9-$B$8)*($B$6/$E$18)*(1-ABS(D51)/$D$27)</f>
        <v>6.186836668391555E-16</v>
      </c>
      <c r="G51" s="171">
        <f>F51*3/$F$27</f>
        <v>3.8709722714879055E-9</v>
      </c>
      <c r="H51" s="171">
        <f>F51/$E$18</f>
        <v>2.3509979339887909E-17</v>
      </c>
      <c r="I51" s="170">
        <f>-(4*PI()/3)*$F$27^3*($B$9-$B$8)*($B$6/$E$18)*(-1/$D$27)</f>
        <v>5.3680718649950817E-12</v>
      </c>
      <c r="J51" s="171">
        <f>-(4*PI()/3)*$F$27^3*($B$9-$B$8)*($B$6/$E$18)*(-ABS(D51)/$D$27^2)</f>
        <v>2.7846807455559268E-11</v>
      </c>
      <c r="K51" s="170">
        <f>SQRT(G51^2*$I$27^2+H51^2*$F$18^2+I51^2*E51^2+J51^2*$E$28^2)</f>
        <v>1.0715320283325586E-16</v>
      </c>
      <c r="L51" s="174">
        <f>K51/F51</f>
        <v>0.17319546090605523</v>
      </c>
    </row>
    <row r="52" spans="1:12" x14ac:dyDescent="0.25">
      <c r="A52" s="175">
        <v>7</v>
      </c>
      <c r="B52" s="178">
        <v>122.625</v>
      </c>
      <c r="C52" s="170">
        <f>B52-B51</f>
        <v>3.367999999999995</v>
      </c>
      <c r="D52" s="171">
        <f t="shared" ref="D52:D55" si="16">$B$12/C52</f>
        <v>1.4845605700712611E-4</v>
      </c>
      <c r="E52" s="171">
        <f t="shared" ref="E52:E54" si="17">SQRT(2)*D52*$B$13/C52</f>
        <v>1.5584068381525494E-5</v>
      </c>
      <c r="F52" s="171">
        <f t="shared" ref="F52:F55" si="18">-(4*PI()/3)*$F$27^3*($B$9-$B$8)*($B$6/$E$18)*(1-ABS(D52)/$D$27)</f>
        <v>6.4917700004769106E-16</v>
      </c>
      <c r="G52" s="171">
        <f t="shared" ref="G52:G55" si="19">F52*3/$F$27</f>
        <v>4.0617625794308015E-9</v>
      </c>
      <c r="H52" s="171">
        <f t="shared" ref="H52:H55" si="20">F52/$E$18</f>
        <v>2.4668726001812258E-17</v>
      </c>
      <c r="I52" s="170">
        <f t="shared" ref="I52:I55" si="21">-(4*PI()/3)*$F$27^3*($B$9-$B$8)*($B$6/$E$18)*(-1/$D$27)</f>
        <v>5.3680718649950817E-12</v>
      </c>
      <c r="J52" s="171">
        <f t="shared" ref="J52:J55" si="22">-(4*PI()/3)*$F$27^3*($B$9-$B$8)*($B$6/$E$18)*(-ABS(D52)/$D$27^2)</f>
        <v>2.8954726754563233E-11</v>
      </c>
      <c r="K52" s="170">
        <f t="shared" ref="K52:K55" si="23">SQRT(G52^2*$I$27^2+H52^2*$F$18^2+I52^2*E52^2+J52^2*$E$28^2)</f>
        <v>1.1420861798678E-16</v>
      </c>
      <c r="L52" s="174">
        <f t="shared" ref="L52:L55" si="24">K52/F52</f>
        <v>0.17592831843763687</v>
      </c>
    </row>
    <row r="53" spans="1:12" x14ac:dyDescent="0.25">
      <c r="A53" s="175">
        <v>8</v>
      </c>
      <c r="B53" s="178">
        <v>125.708</v>
      </c>
      <c r="C53" s="170">
        <f>B53-B52</f>
        <v>3.0829999999999984</v>
      </c>
      <c r="D53" s="171">
        <f t="shared" si="16"/>
        <v>1.6217969510217328E-4</v>
      </c>
      <c r="E53" s="171">
        <f t="shared" si="17"/>
        <v>1.8598501812765732E-5</v>
      </c>
      <c r="F53" s="171">
        <f t="shared" si="18"/>
        <v>7.2284647559108839E-16</v>
      </c>
      <c r="G53" s="171">
        <f t="shared" si="19"/>
        <v>4.5226968377093314E-9</v>
      </c>
      <c r="H53" s="171">
        <f t="shared" si="20"/>
        <v>2.7468166072461356E-17</v>
      </c>
      <c r="I53" s="170">
        <f t="shared" si="21"/>
        <v>5.3680718649950817E-12</v>
      </c>
      <c r="J53" s="171">
        <f t="shared" si="22"/>
        <v>3.1631371945951626E-11</v>
      </c>
      <c r="K53" s="170">
        <f t="shared" si="23"/>
        <v>1.3210463079040216E-16</v>
      </c>
      <c r="L53" s="174">
        <f t="shared" si="24"/>
        <v>0.18275613875322161</v>
      </c>
    </row>
    <row r="54" spans="1:12" x14ac:dyDescent="0.25">
      <c r="A54" s="175">
        <v>9</v>
      </c>
      <c r="B54" s="178">
        <v>128.79300000000001</v>
      </c>
      <c r="C54" s="170">
        <f>B54-B53</f>
        <v>3.085000000000008</v>
      </c>
      <c r="D54" s="171">
        <f t="shared" si="16"/>
        <v>1.6207455429497527E-4</v>
      </c>
      <c r="E54" s="171">
        <f t="shared" si="17"/>
        <v>1.8574394878405838E-5</v>
      </c>
      <c r="F54" s="171">
        <f t="shared" si="18"/>
        <v>7.2228207218210591E-16</v>
      </c>
      <c r="G54" s="171">
        <f t="shared" si="19"/>
        <v>4.5191654854800632E-9</v>
      </c>
      <c r="H54" s="171">
        <f t="shared" si="20"/>
        <v>2.7446718742920023E-17</v>
      </c>
      <c r="I54" s="170">
        <f t="shared" si="21"/>
        <v>5.3680718649950817E-12</v>
      </c>
      <c r="J54" s="171">
        <f t="shared" si="22"/>
        <v>3.1610865383912012E-11</v>
      </c>
      <c r="K54" s="170">
        <f t="shared" si="23"/>
        <v>1.3196288772738142E-16</v>
      </c>
      <c r="L54" s="174">
        <f t="shared" si="24"/>
        <v>0.18270270412320322</v>
      </c>
    </row>
    <row r="55" spans="1:12" x14ac:dyDescent="0.25">
      <c r="A55" s="175">
        <v>10</v>
      </c>
      <c r="B55" s="178">
        <v>132.227</v>
      </c>
      <c r="C55" s="170">
        <f>B55-B54</f>
        <v>3.4339999999999975</v>
      </c>
      <c r="D55" s="171">
        <f t="shared" si="16"/>
        <v>1.4560279557367513E-4</v>
      </c>
      <c r="E55" s="171">
        <f>SQRT(2)*D55*$B$13/C55</f>
        <v>1.4990786853503844E-5</v>
      </c>
      <c r="F55" s="171">
        <f t="shared" si="18"/>
        <v>6.3386048762330726E-16</v>
      </c>
      <c r="G55" s="171">
        <f t="shared" si="19"/>
        <v>3.9659304150007946E-9</v>
      </c>
      <c r="H55" s="171">
        <f t="shared" si="20"/>
        <v>2.4086698529685675E-17</v>
      </c>
      <c r="I55" s="170">
        <f t="shared" si="21"/>
        <v>5.3680718649950817E-12</v>
      </c>
      <c r="J55" s="171">
        <f t="shared" si="22"/>
        <v>2.8398229385372421E-11</v>
      </c>
      <c r="K55" s="170">
        <f t="shared" si="23"/>
        <v>1.1063929800779065E-16</v>
      </c>
      <c r="L55" s="174">
        <f t="shared" si="24"/>
        <v>0.17454834331548008</v>
      </c>
    </row>
    <row r="56" spans="1:12" x14ac:dyDescent="0.25">
      <c r="L56" s="174"/>
    </row>
    <row r="57" spans="1:12" x14ac:dyDescent="0.25">
      <c r="L57" s="174"/>
    </row>
    <row r="59" spans="1:12" x14ac:dyDescent="0.25">
      <c r="B59" s="170" t="s">
        <v>38</v>
      </c>
    </row>
    <row r="60" spans="1:12" x14ac:dyDescent="0.25">
      <c r="A60" s="171"/>
      <c r="B60" s="170" t="s">
        <v>44</v>
      </c>
      <c r="C60" s="170" t="s">
        <v>45</v>
      </c>
    </row>
    <row r="61" spans="1:12" x14ac:dyDescent="0.25">
      <c r="A61" s="170">
        <v>1</v>
      </c>
      <c r="B61" s="171">
        <f>F41</f>
        <v>6.9724643431069028E-16</v>
      </c>
      <c r="C61" s="170">
        <f>K41</f>
        <v>9.1614412662399312E-17</v>
      </c>
    </row>
    <row r="62" spans="1:12" x14ac:dyDescent="0.25">
      <c r="A62" s="170">
        <v>2</v>
      </c>
      <c r="B62" s="171">
        <f t="shared" ref="B62:B65" si="25">F42</f>
        <v>6.972464343106887E-16</v>
      </c>
      <c r="C62" s="170">
        <f t="shared" ref="C62:C65" si="26">K42</f>
        <v>9.1614412662399028E-17</v>
      </c>
    </row>
    <row r="63" spans="1:12" x14ac:dyDescent="0.25">
      <c r="A63" s="170">
        <v>3</v>
      </c>
      <c r="B63" s="171">
        <f t="shared" si="25"/>
        <v>7.057574111382353E-16</v>
      </c>
      <c r="C63" s="170">
        <f t="shared" si="26"/>
        <v>9.3067546317284584E-17</v>
      </c>
    </row>
    <row r="64" spans="1:12" x14ac:dyDescent="0.25">
      <c r="A64" s="170">
        <v>4</v>
      </c>
      <c r="B64" s="171">
        <f t="shared" si="25"/>
        <v>7.1447634283163939E-16</v>
      </c>
      <c r="C64" s="170">
        <f t="shared" si="26"/>
        <v>9.4570029296212834E-17</v>
      </c>
    </row>
    <row r="65" spans="1:3" x14ac:dyDescent="0.25">
      <c r="A65" s="170">
        <v>5</v>
      </c>
      <c r="B65" s="171">
        <f t="shared" si="25"/>
        <v>6.5860149888095211E-16</v>
      </c>
      <c r="C65" s="170">
        <f t="shared" si="26"/>
        <v>8.5180244510808805E-17</v>
      </c>
    </row>
    <row r="66" spans="1:3" x14ac:dyDescent="0.25">
      <c r="A66" s="170">
        <v>6</v>
      </c>
      <c r="B66" s="171">
        <f>F51</f>
        <v>6.186836668391555E-16</v>
      </c>
      <c r="C66" s="170">
        <f>K51</f>
        <v>1.0715320283325586E-16</v>
      </c>
    </row>
    <row r="67" spans="1:3" x14ac:dyDescent="0.25">
      <c r="A67" s="170">
        <v>7</v>
      </c>
      <c r="B67" s="171">
        <f t="shared" ref="B67:B70" si="27">F52</f>
        <v>6.4917700004769106E-16</v>
      </c>
      <c r="C67" s="170">
        <f t="shared" ref="C67:C70" si="28">K52</f>
        <v>1.1420861798678E-16</v>
      </c>
    </row>
    <row r="68" spans="1:3" x14ac:dyDescent="0.25">
      <c r="A68" s="170">
        <v>8</v>
      </c>
      <c r="B68" s="171">
        <f t="shared" si="27"/>
        <v>7.2284647559108839E-16</v>
      </c>
      <c r="C68" s="170">
        <f t="shared" si="28"/>
        <v>1.3210463079040216E-16</v>
      </c>
    </row>
    <row r="69" spans="1:3" x14ac:dyDescent="0.25">
      <c r="A69" s="170">
        <v>9</v>
      </c>
      <c r="B69" s="171">
        <f t="shared" si="27"/>
        <v>7.2228207218210591E-16</v>
      </c>
      <c r="C69" s="170">
        <f t="shared" si="28"/>
        <v>1.3196288772738142E-16</v>
      </c>
    </row>
    <row r="70" spans="1:3" x14ac:dyDescent="0.25">
      <c r="A70" s="170">
        <v>10</v>
      </c>
      <c r="B70" s="171">
        <f t="shared" si="27"/>
        <v>6.3386048762330726E-16</v>
      </c>
      <c r="C70" s="170">
        <f t="shared" si="28"/>
        <v>1.1063929800779065E-16</v>
      </c>
    </row>
  </sheetData>
  <mergeCells count="2">
    <mergeCell ref="A1:C2"/>
    <mergeCell ref="A14:C15"/>
  </mergeCells>
  <conditionalFormatting sqref="C32:G36">
    <cfRule type="cellIs" dxfId="5" priority="5" operator="notBetween">
      <formula>-1.96</formula>
      <formula>1.96</formula>
    </cfRule>
  </conditionalFormatting>
  <conditionalFormatting sqref="L41:L47">
    <cfRule type="cellIs" priority="4" operator="greaterThan">
      <formula>0.04</formula>
    </cfRule>
  </conditionalFormatting>
  <conditionalFormatting sqref="L51:L57">
    <cfRule type="cellIs" priority="2" operator="greaterThan">
      <formula>0.04</formula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3" operator="greaterThan" id="{6280A63D-E64D-4983-99B9-49379657DA0C}">
            <xm:f>Dati!$B$14</xm:f>
            <x14:dxf>
              <fill>
                <patternFill>
                  <bgColor theme="5"/>
                </patternFill>
              </fill>
            </x14:dxf>
          </x14:cfRule>
          <xm:sqref>L41:L47</xm:sqref>
        </x14:conditionalFormatting>
        <x14:conditionalFormatting xmlns:xm="http://schemas.microsoft.com/office/excel/2006/main">
          <x14:cfRule type="cellIs" priority="1" operator="greaterThan" id="{3B99DA12-F559-4FDB-A8F8-C27BAAA5ED1F}">
            <xm:f>Dati!$B$14</xm:f>
            <x14:dxf>
              <fill>
                <patternFill>
                  <bgColor theme="5"/>
                </patternFill>
              </fill>
            </x14:dxf>
          </x14:cfRule>
          <xm:sqref>L51:L57</xm:sqref>
        </x14:conditionalFormatting>
      </x14:conditionalFormatting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tabSelected="1" topLeftCell="A4" workbookViewId="0">
      <selection activeCell="M50" sqref="M50"/>
    </sheetView>
  </sheetViews>
  <sheetFormatPr defaultRowHeight="15" x14ac:dyDescent="0.25"/>
  <cols>
    <col min="1" max="1" width="13.140625" style="178" customWidth="1"/>
    <col min="2" max="2" width="9.140625" style="178"/>
    <col min="3" max="5" width="12" style="178" customWidth="1"/>
    <col min="6" max="7" width="12.140625" style="178" customWidth="1"/>
    <col min="8" max="9" width="12" style="178" customWidth="1"/>
    <col min="10" max="10" width="9.140625" style="178"/>
    <col min="11" max="11" width="12" style="178" customWidth="1"/>
    <col min="12" max="16384" width="9.140625" style="178"/>
  </cols>
  <sheetData>
    <row r="1" spans="1:5" x14ac:dyDescent="0.25">
      <c r="A1" s="187" t="str">
        <f>[1]Dati!A1</f>
        <v>Costanti varie</v>
      </c>
      <c r="B1" s="187"/>
      <c r="C1" s="187"/>
    </row>
    <row r="2" spans="1:5" x14ac:dyDescent="0.25">
      <c r="A2" s="187"/>
      <c r="B2" s="187"/>
      <c r="C2" s="187"/>
    </row>
    <row r="4" spans="1:5" x14ac:dyDescent="0.25">
      <c r="B4" s="178" t="s">
        <v>1</v>
      </c>
      <c r="C4" s="178" t="s">
        <v>2</v>
      </c>
    </row>
    <row r="5" spans="1:5" x14ac:dyDescent="0.25">
      <c r="A5" s="178" t="str">
        <f>[1]Dati!A5</f>
        <v>d</v>
      </c>
      <c r="B5" s="179">
        <v>7.6</v>
      </c>
      <c r="C5" s="178">
        <f>[1]Dati!C5</f>
        <v>1.0000000000000001E-5</v>
      </c>
    </row>
    <row r="6" spans="1:5" x14ac:dyDescent="0.25">
      <c r="A6" s="178" t="str">
        <f>[1]Dati!A6</f>
        <v>g</v>
      </c>
      <c r="B6" s="178">
        <f>[1]Dati!B6</f>
        <v>9.8059999999999992</v>
      </c>
      <c r="C6" s="178">
        <f>[1]Dati!C6</f>
        <v>0</v>
      </c>
    </row>
    <row r="7" spans="1:5" x14ac:dyDescent="0.25">
      <c r="A7" s="178" t="str">
        <f>[1]Dati!A7</f>
        <v>pressione</v>
      </c>
      <c r="B7" s="178">
        <f>[1]Dati!B7</f>
        <v>101325</v>
      </c>
      <c r="C7" s="178">
        <f>[1]Dati!C7</f>
        <v>0</v>
      </c>
    </row>
    <row r="8" spans="1:5" x14ac:dyDescent="0.25">
      <c r="A8" s="178" t="str">
        <f>[1]Dati!A8</f>
        <v>densità aria</v>
      </c>
      <c r="B8" s="178">
        <v>0</v>
      </c>
      <c r="C8" s="178">
        <f>[1]Dati!C8</f>
        <v>0</v>
      </c>
    </row>
    <row r="9" spans="1:5" x14ac:dyDescent="0.25">
      <c r="A9" s="178" t="str">
        <f>[1]Dati!A9</f>
        <v>densità olio</v>
      </c>
      <c r="B9" s="178">
        <v>858.7</v>
      </c>
      <c r="C9" s="178">
        <f>[1]Dati!C9</f>
        <v>0</v>
      </c>
    </row>
    <row r="10" spans="1:5" x14ac:dyDescent="0.25">
      <c r="A10" s="178" t="str">
        <f>[1]Dati!A10</f>
        <v>cst corr vis</v>
      </c>
      <c r="B10" s="178">
        <f>[1]Dati!B10</f>
        <v>8.2000000000000007E-3</v>
      </c>
      <c r="C10" s="178">
        <f>[1]Dati!C10</f>
        <v>0</v>
      </c>
    </row>
    <row r="11" spans="1:5" x14ac:dyDescent="0.25">
      <c r="A11" s="178" t="str">
        <f>[1]Dati!A11</f>
        <v>e</v>
      </c>
      <c r="B11" s="178">
        <f>[1]Dati!B11</f>
        <v>1.6021766200000001E-19</v>
      </c>
      <c r="C11" s="178">
        <f>[1]Dati!C11</f>
        <v>0</v>
      </c>
    </row>
    <row r="12" spans="1:5" x14ac:dyDescent="0.25">
      <c r="A12" s="178" t="str">
        <f>[1]Dati!A12</f>
        <v>deltax</v>
      </c>
      <c r="B12" s="178">
        <f>[1]Dati!B12</f>
        <v>5.0000000000000001E-4</v>
      </c>
      <c r="C12" s="178">
        <f>[1]Dati!C12</f>
        <v>0</v>
      </c>
    </row>
    <row r="13" spans="1:5" x14ac:dyDescent="0.25">
      <c r="A13" s="178" t="s">
        <v>30</v>
      </c>
      <c r="B13" s="178">
        <f>Dati!B13</f>
        <v>0.25</v>
      </c>
    </row>
    <row r="14" spans="1:5" x14ac:dyDescent="0.25">
      <c r="A14" s="187" t="s">
        <v>17</v>
      </c>
      <c r="B14" s="187"/>
      <c r="C14" s="187"/>
      <c r="D14" s="181"/>
    </row>
    <row r="15" spans="1:5" x14ac:dyDescent="0.25">
      <c r="A15" s="187"/>
      <c r="B15" s="187"/>
      <c r="C15" s="187"/>
      <c r="D15" s="181"/>
    </row>
    <row r="16" spans="1:5" x14ac:dyDescent="0.25">
      <c r="A16" s="178" t="s">
        <v>18</v>
      </c>
      <c r="B16" s="178">
        <v>301</v>
      </c>
      <c r="C16" s="178">
        <f>B16/100</f>
        <v>3.01</v>
      </c>
      <c r="D16" s="178" t="s">
        <v>19</v>
      </c>
      <c r="E16" s="178">
        <f>(1.8+(B18-15)*0.004765)*0.00001</f>
        <v>1.8309725000000004E-5</v>
      </c>
    </row>
    <row r="17" spans="1:10" x14ac:dyDescent="0.25">
      <c r="A17" s="178" t="s">
        <v>20</v>
      </c>
      <c r="E17" s="180"/>
    </row>
    <row r="18" spans="1:10" x14ac:dyDescent="0.25">
      <c r="A18" s="178" t="s">
        <v>21</v>
      </c>
      <c r="B18" s="178">
        <v>21.5</v>
      </c>
      <c r="C18" s="178">
        <v>0.5</v>
      </c>
      <c r="D18" s="178" t="s">
        <v>22</v>
      </c>
      <c r="E18" s="179">
        <f>B16/B5</f>
        <v>39.60526315789474</v>
      </c>
      <c r="F18" s="178">
        <f>SQRT((C16/B5)^2+(B16*C5/B5^2)^2)</f>
        <v>0.3960526350073808</v>
      </c>
      <c r="G18" s="179"/>
    </row>
    <row r="21" spans="1:10" x14ac:dyDescent="0.25">
      <c r="B21" s="178" t="s">
        <v>23</v>
      </c>
      <c r="C21" s="178" t="s">
        <v>27</v>
      </c>
      <c r="D21" s="178" t="s">
        <v>24</v>
      </c>
      <c r="E21" s="178" t="s">
        <v>29</v>
      </c>
      <c r="F21" s="178" t="s">
        <v>25</v>
      </c>
      <c r="G21" s="178" t="s">
        <v>26</v>
      </c>
      <c r="H21" s="178" t="s">
        <v>28</v>
      </c>
      <c r="I21" s="178" t="s">
        <v>31</v>
      </c>
      <c r="J21" s="178" t="s">
        <v>32</v>
      </c>
    </row>
    <row r="22" spans="1:10" x14ac:dyDescent="0.25">
      <c r="A22" s="178">
        <v>1</v>
      </c>
      <c r="B22" s="184">
        <v>13.528</v>
      </c>
      <c r="C22" s="178">
        <f>B22</f>
        <v>13.528</v>
      </c>
      <c r="D22" s="179">
        <f>B12/B22</f>
        <v>3.6960378474275573E-5</v>
      </c>
      <c r="E22" s="179">
        <f>SQRT(2)*D22*$B$13/C22</f>
        <v>9.6595706144225171E-7</v>
      </c>
      <c r="F22" s="5">
        <f>(($B$10/(2*$B$7))^2+9*$E$16*D22/(2*$B$6*($B$9-$B$8)))^(1/2)-$B$10/(2*$B$7)</f>
        <v>5.6227552148155298E-7</v>
      </c>
      <c r="G22" s="178">
        <f>(($B$10/(2*$B$7))^2+9*$E$16*D22/(2*$B$6*($B$9-$B$8)))^(-1/2)*(9*$E$16)/(4*$B$6*$B$9)</f>
        <v>8.1171098634887483E-3</v>
      </c>
      <c r="H22" s="178">
        <f>(($B$10/(2*$B$7))^2+9*$E$16*D22/(2*$B$6*($B$9-$B$8)))^(-1/2)*((9*D22)/(4*$B$6*$B$9))*0.00000004765</f>
        <v>7.8076244836075876E-10</v>
      </c>
      <c r="I22" s="178">
        <f>SQRT(G22^2*E22^2+H22^2*$C$18^2+$F$28^2)</f>
        <v>2.9778244567310542E-8</v>
      </c>
      <c r="J22" s="179">
        <f>I22/F22</f>
        <v>5.2960236449289391E-2</v>
      </c>
    </row>
    <row r="23" spans="1:10" x14ac:dyDescent="0.25">
      <c r="A23" s="178">
        <v>2</v>
      </c>
      <c r="B23" s="184">
        <v>28.977</v>
      </c>
      <c r="C23" s="178">
        <f>B23-B22</f>
        <v>15.449</v>
      </c>
      <c r="D23" s="179">
        <f>$B$12/(B23-B22)</f>
        <v>3.2364554340086736E-5</v>
      </c>
      <c r="E23" s="179">
        <f t="shared" ref="E23:E25" si="0">SQRT(2)*D23*$B$13/C23</f>
        <v>7.40669164475236E-7</v>
      </c>
      <c r="F23" s="5">
        <f>(($B$10/(2*$B$7))^2+9*E16*D23/(2*$B$6*($B$9-$B$8)))^(1/2)-$B$10/(2*$B$7)</f>
        <v>5.2373876891367134E-7</v>
      </c>
      <c r="G23" s="178">
        <f t="shared" ref="G23:G27" si="1">(($B$10/(2*$B$7))^2+9*$E$16*D23/(2*$B$6*($B$9-$B$8)))^(-1/2)*(9*$E$16)/(4*$B$6*$B$9)</f>
        <v>8.6715331180209753E-3</v>
      </c>
      <c r="H23" s="178">
        <f t="shared" ref="H23:H27" si="2">(($B$10/(2*$B$7))^2+9*$E$16*D23/(2*$B$6*($B$9-$B$8)))^(-1/2)*((9*D23)/(4*$B$6*$B$9))*0.00000004765</f>
        <v>7.3037618119327075E-10</v>
      </c>
      <c r="I23" s="178">
        <f t="shared" ref="I23:I27" si="3">SQRT(G23^2*E23^2+H23^2*$C$18^2+$F$28^2)</f>
        <v>2.9436347306640275E-8</v>
      </c>
      <c r="J23" s="179">
        <f t="shared" ref="J23:J27" si="4">I23/F23</f>
        <v>5.6204254971799331E-2</v>
      </c>
    </row>
    <row r="24" spans="1:10" x14ac:dyDescent="0.25">
      <c r="A24" s="178">
        <v>3</v>
      </c>
      <c r="B24" s="184">
        <v>40.915999999999997</v>
      </c>
      <c r="C24" s="178">
        <f t="shared" ref="C24:C26" si="5">B24-B23</f>
        <v>11.938999999999997</v>
      </c>
      <c r="D24" s="179">
        <f>$B$12/(B24-B23)</f>
        <v>4.1879554401541178E-5</v>
      </c>
      <c r="E24" s="179">
        <f t="shared" si="0"/>
        <v>1.2401925165592052E-6</v>
      </c>
      <c r="F24" s="5">
        <f>(($B$10/(2*$B$7))^2+9*E16*D24/(2*$B$6*($B$9-$B$8)))^(1/2)-$B$10/(2*$B$7)</f>
        <v>6.0096338912484971E-7</v>
      </c>
      <c r="G24" s="178">
        <f t="shared" si="1"/>
        <v>7.6275240602002581E-3</v>
      </c>
      <c r="H24" s="178">
        <f t="shared" si="2"/>
        <v>8.3131711512132098E-10</v>
      </c>
      <c r="I24" s="178">
        <f t="shared" si="3"/>
        <v>3.0245171493612614E-8</v>
      </c>
      <c r="J24" s="179">
        <f t="shared" si="4"/>
        <v>5.0327810380690598E-2</v>
      </c>
    </row>
    <row r="25" spans="1:10" x14ac:dyDescent="0.25">
      <c r="A25" s="178">
        <v>4</v>
      </c>
      <c r="B25" s="184">
        <v>55.386000000000003</v>
      </c>
      <c r="C25" s="178">
        <f t="shared" si="5"/>
        <v>14.470000000000006</v>
      </c>
      <c r="D25" s="179">
        <f>$B$12/(B25-B24)</f>
        <v>3.455425017277124E-5</v>
      </c>
      <c r="E25" s="179">
        <f t="shared" si="0"/>
        <v>8.442828132682434E-7</v>
      </c>
      <c r="F25" s="5">
        <f>(($B$10/(2*$B$7))^2+9*E16*D25/(2*$B$6*($B$9-$B$8)))^(1/2)-$B$10/(2*$B$7)</f>
        <v>5.4241759278075279E-7</v>
      </c>
      <c r="G25" s="178">
        <f t="shared" si="1"/>
        <v>8.3936480683567231E-3</v>
      </c>
      <c r="H25" s="178">
        <f t="shared" si="2"/>
        <v>7.5480247000169309E-10</v>
      </c>
      <c r="I25" s="178">
        <f t="shared" si="3"/>
        <v>2.9588446058385064E-8</v>
      </c>
      <c r="J25" s="179">
        <f t="shared" si="4"/>
        <v>5.4549200564637336E-2</v>
      </c>
    </row>
    <row r="26" spans="1:10" x14ac:dyDescent="0.25">
      <c r="A26" s="178">
        <v>5</v>
      </c>
      <c r="B26" s="184">
        <v>69.381</v>
      </c>
      <c r="C26" s="178">
        <f t="shared" si="5"/>
        <v>13.994999999999997</v>
      </c>
      <c r="D26" s="179">
        <f>$B$12/(B26-B25)</f>
        <v>3.5727045373347629E-5</v>
      </c>
      <c r="E26" s="179">
        <f>SQRT(2)*D26*$B$13/C26</f>
        <v>9.0256649000548712E-7</v>
      </c>
      <c r="F26" s="5">
        <f>(($B$10/(2*$B$7))^2+9*E16*D26/(2*$B$6*($B$9-$B$8)))^(1/2)-$B$10/(2*$B$7)</f>
        <v>5.5217987210901539E-7</v>
      </c>
      <c r="G26" s="178">
        <f t="shared" si="1"/>
        <v>8.2553843300845735E-3</v>
      </c>
      <c r="H26" s="178">
        <f t="shared" si="2"/>
        <v>7.6756556278205422E-10</v>
      </c>
      <c r="I26" s="178">
        <f t="shared" si="3"/>
        <v>2.9677917940033607E-8</v>
      </c>
      <c r="J26" s="179">
        <f t="shared" si="4"/>
        <v>5.3746830406332477E-2</v>
      </c>
    </row>
    <row r="27" spans="1:10" x14ac:dyDescent="0.25">
      <c r="A27" s="7" t="s">
        <v>34</v>
      </c>
      <c r="B27" s="7"/>
      <c r="C27" s="7">
        <f>AVERAGE(C22:C26)</f>
        <v>13.876200000000001</v>
      </c>
      <c r="D27" s="7">
        <f>AVERAGE(D22:D26)</f>
        <v>3.6297156552404471E-5</v>
      </c>
      <c r="E27" s="8">
        <f>SQRT(2)*D27*$B$13/C27</f>
        <v>9.2481967455048674E-7</v>
      </c>
      <c r="F27" s="9">
        <f>AVERAGE(F22:F26)</f>
        <v>5.5631502888196857E-7</v>
      </c>
      <c r="G27" s="7">
        <f t="shared" si="1"/>
        <v>8.1905948772595591E-3</v>
      </c>
      <c r="H27" s="7">
        <f t="shared" si="2"/>
        <v>7.736938299316437E-10</v>
      </c>
      <c r="I27" s="7">
        <f t="shared" si="3"/>
        <v>2.9709278446389914E-8</v>
      </c>
      <c r="J27" s="8">
        <f t="shared" si="4"/>
        <v>5.3403695575323436E-2</v>
      </c>
    </row>
    <row r="28" spans="1:10" x14ac:dyDescent="0.25">
      <c r="A28" s="178" t="s">
        <v>35</v>
      </c>
      <c r="C28" s="6">
        <f>_xlfn.STDEV.S(C22:C26)</f>
        <v>1.2956078496211749</v>
      </c>
      <c r="D28" s="179">
        <f>_xlfn.STDEV.S(D22:D26)</f>
        <v>3.550744239897978E-6</v>
      </c>
      <c r="E28" s="8">
        <f>SQRT(2)*D28*$B$13/C28</f>
        <v>9.6894879535696618E-7</v>
      </c>
      <c r="F28" s="179">
        <f>_xlfn.STDEV.S(F22:F26)</f>
        <v>2.8724791163967364E-8</v>
      </c>
    </row>
    <row r="30" spans="1:10" x14ac:dyDescent="0.25">
      <c r="A30" s="178" t="s">
        <v>31</v>
      </c>
      <c r="C30" s="178">
        <f t="array" ref="C30:G31">TRANSPOSE(A32:B36)</f>
        <v>2.9778244567310542E-8</v>
      </c>
      <c r="D30" s="178">
        <v>2.9436347306640275E-8</v>
      </c>
      <c r="E30" s="178">
        <v>3.0245171493612614E-8</v>
      </c>
      <c r="F30" s="178">
        <v>2.9588446058385064E-8</v>
      </c>
      <c r="G30" s="178">
        <v>2.9677917940033607E-8</v>
      </c>
    </row>
    <row r="31" spans="1:10" x14ac:dyDescent="0.25">
      <c r="B31" s="178" t="s">
        <v>25</v>
      </c>
      <c r="C31" s="178">
        <v>5.6227552148155298E-7</v>
      </c>
      <c r="D31" s="178">
        <v>5.2373876891367134E-7</v>
      </c>
      <c r="E31" s="178">
        <v>6.0096338912484971E-7</v>
      </c>
      <c r="F31" s="178">
        <v>5.4241759278075279E-7</v>
      </c>
      <c r="G31" s="178">
        <v>5.5217987210901539E-7</v>
      </c>
    </row>
    <row r="32" spans="1:10" x14ac:dyDescent="0.25">
      <c r="A32" s="178">
        <f>I22</f>
        <v>2.9778244567310542E-8</v>
      </c>
      <c r="B32" s="5">
        <f>F22</f>
        <v>5.6227552148155298E-7</v>
      </c>
      <c r="C32" s="178">
        <f t="shared" ref="C32:G36" si="6">(C$31-$B32)/SQRT(C$30^2+$A32^2)</f>
        <v>0</v>
      </c>
      <c r="D32" s="178">
        <f t="shared" si="6"/>
        <v>-0.92035236576476076</v>
      </c>
      <c r="E32" s="178">
        <f t="shared" si="6"/>
        <v>0.91149846735608198</v>
      </c>
      <c r="F32" s="178">
        <f t="shared" si="6"/>
        <v>-0.4730465564494119</v>
      </c>
      <c r="G32" s="178">
        <f t="shared" si="6"/>
        <v>-0.24013295401640508</v>
      </c>
    </row>
    <row r="33" spans="1:12" x14ac:dyDescent="0.25">
      <c r="A33" s="178">
        <f>I23</f>
        <v>2.9436347306640275E-8</v>
      </c>
      <c r="B33" s="5">
        <f>F23</f>
        <v>5.2373876891367134E-7</v>
      </c>
      <c r="C33" s="178">
        <f t="shared" si="6"/>
        <v>0.92035236576476076</v>
      </c>
      <c r="D33" s="178">
        <f t="shared" si="6"/>
        <v>0</v>
      </c>
      <c r="E33" s="178">
        <f t="shared" si="6"/>
        <v>1.8297469561536359</v>
      </c>
      <c r="F33" s="178">
        <f t="shared" si="6"/>
        <v>0.44753665083736782</v>
      </c>
      <c r="G33" s="178">
        <f t="shared" si="6"/>
        <v>0.68040189389120864</v>
      </c>
    </row>
    <row r="34" spans="1:12" x14ac:dyDescent="0.25">
      <c r="A34" s="178">
        <f>I24</f>
        <v>3.0245171493612614E-8</v>
      </c>
      <c r="B34" s="5">
        <f>F24</f>
        <v>6.0096338912484971E-7</v>
      </c>
      <c r="C34" s="178">
        <f t="shared" si="6"/>
        <v>-0.91149846735608198</v>
      </c>
      <c r="D34" s="178">
        <f t="shared" si="6"/>
        <v>-1.8297469561536359</v>
      </c>
      <c r="E34" s="178">
        <f t="shared" si="6"/>
        <v>0</v>
      </c>
      <c r="F34" s="178">
        <f t="shared" si="6"/>
        <v>-1.3836915739866205</v>
      </c>
      <c r="G34" s="178">
        <f t="shared" si="6"/>
        <v>-1.1512627447068775</v>
      </c>
    </row>
    <row r="35" spans="1:12" x14ac:dyDescent="0.25">
      <c r="A35" s="178">
        <f>I25</f>
        <v>2.9588446058385064E-8</v>
      </c>
      <c r="B35" s="5">
        <f>F25</f>
        <v>5.4241759278075279E-7</v>
      </c>
      <c r="C35" s="178">
        <f t="shared" si="6"/>
        <v>0.4730465564494119</v>
      </c>
      <c r="D35" s="178">
        <f t="shared" si="6"/>
        <v>-0.44753665083736782</v>
      </c>
      <c r="E35" s="178">
        <f t="shared" si="6"/>
        <v>1.3836915739866205</v>
      </c>
      <c r="F35" s="178">
        <f t="shared" si="6"/>
        <v>0</v>
      </c>
      <c r="G35" s="178">
        <f t="shared" si="6"/>
        <v>0.23294717546326085</v>
      </c>
    </row>
    <row r="36" spans="1:12" x14ac:dyDescent="0.25">
      <c r="A36" s="178">
        <f>I26</f>
        <v>2.9677917940033607E-8</v>
      </c>
      <c r="B36" s="5">
        <f>F26</f>
        <v>5.5217987210901539E-7</v>
      </c>
      <c r="C36" s="178">
        <f t="shared" si="6"/>
        <v>0.24013295401640508</v>
      </c>
      <c r="D36" s="178">
        <f t="shared" si="6"/>
        <v>-0.68040189389120864</v>
      </c>
      <c r="E36" s="178">
        <f t="shared" si="6"/>
        <v>1.1512627447068775</v>
      </c>
      <c r="F36" s="178">
        <f t="shared" si="6"/>
        <v>-0.23294717546326085</v>
      </c>
      <c r="G36" s="178">
        <f t="shared" si="6"/>
        <v>0</v>
      </c>
    </row>
    <row r="39" spans="1:12" x14ac:dyDescent="0.25">
      <c r="A39" s="178" t="s">
        <v>7</v>
      </c>
    </row>
    <row r="40" spans="1:12" x14ac:dyDescent="0.25">
      <c r="B40" s="178" t="s">
        <v>36</v>
      </c>
      <c r="C40" s="178" t="s">
        <v>27</v>
      </c>
      <c r="D40" s="178" t="s">
        <v>24</v>
      </c>
      <c r="E40" s="178" t="s">
        <v>29</v>
      </c>
      <c r="F40" s="178" t="s">
        <v>37</v>
      </c>
      <c r="G40" s="178" t="s">
        <v>39</v>
      </c>
      <c r="H40" s="178" t="s">
        <v>40</v>
      </c>
      <c r="I40" s="178" t="s">
        <v>41</v>
      </c>
      <c r="J40" s="178" t="s">
        <v>42</v>
      </c>
      <c r="K40" s="178" t="s">
        <v>2</v>
      </c>
      <c r="L40" s="178" t="s">
        <v>43</v>
      </c>
    </row>
    <row r="41" spans="1:12" x14ac:dyDescent="0.25">
      <c r="A41" s="183">
        <v>1</v>
      </c>
      <c r="B41" s="185">
        <v>80.088999999999999</v>
      </c>
      <c r="C41" s="178">
        <f>B41-B26</f>
        <v>10.707999999999998</v>
      </c>
      <c r="D41" s="179">
        <f>$B$12/C41</f>
        <v>4.6694060515502437E-5</v>
      </c>
      <c r="E41" s="179">
        <f>SQRT(2)*D41*$B$13/C41</f>
        <v>1.5417298669988233E-6</v>
      </c>
      <c r="F41" s="179">
        <f>(4*PI()/3)*$F$27^3*($B$9-$B$8)*($B$6/$E$18)*(1+ABS(D41)/$D$27)</f>
        <v>3.5058309000640999E-16</v>
      </c>
      <c r="G41" s="179">
        <f>F41*3/$F$27</f>
        <v>1.8905641865058729E-9</v>
      </c>
      <c r="H41" s="179">
        <f>F41/$E$18</f>
        <v>8.8519318406934071E-18</v>
      </c>
      <c r="I41" s="178">
        <f>(4*PI()/3)*$F$27^3*($B$9-$B$8)*($B$6/$E$18)*(1/$D$27)</f>
        <v>4.2243396637929551E-12</v>
      </c>
      <c r="J41" s="179">
        <f>(4*PI()/3)*$F$27^3*($B$9-$B$8)*($B$6/$E$18)*(ABS(D41)/$D$27^2)</f>
        <v>5.4343532836904476E-12</v>
      </c>
      <c r="K41" s="178">
        <f>SQRT(G41^2*$I$27^2+H41^2*$F$18^2+I41^2*E41^2+J41^2*$E$28^2)</f>
        <v>5.6896390817424012E-17</v>
      </c>
      <c r="L41" s="182">
        <f>K41/F41</f>
        <v>0.16229074487415732</v>
      </c>
    </row>
    <row r="42" spans="1:12" x14ac:dyDescent="0.25">
      <c r="A42" s="183">
        <v>2</v>
      </c>
      <c r="B42" s="185">
        <v>93.748000000000005</v>
      </c>
      <c r="C42" s="178">
        <f>B42-B41</f>
        <v>13.659000000000006</v>
      </c>
      <c r="D42" s="179">
        <f t="shared" ref="D42:D45" si="7">$B$12/C42</f>
        <v>3.6605900871220428E-5</v>
      </c>
      <c r="E42" s="179">
        <f t="shared" ref="E42:E44" si="8">SQRT(2)*D42*$B$13/C42</f>
        <v>9.4751741479912518E-7</v>
      </c>
      <c r="F42" s="179">
        <f t="shared" ref="F42:F45" si="9">(4*PI()/3)*$F$27^3*($B$9-$B$8)*($B$6/$E$18)*(1+ABS(D42)/$D$27)</f>
        <v>3.0796727708639406E-16</v>
      </c>
      <c r="G42" s="179">
        <f t="shared" ref="G42:G45" si="10">F42*3/$F$27</f>
        <v>1.6607529606308787E-9</v>
      </c>
      <c r="H42" s="179">
        <f t="shared" ref="H42:H45" si="11">F42/$E$18</f>
        <v>7.7759179596564616E-18</v>
      </c>
      <c r="I42" s="178">
        <f t="shared" ref="I42:I45" si="12">(4*PI()/3)*$F$27^3*($B$9-$B$8)*($B$6/$E$18)*(1/$D$27)</f>
        <v>4.2243396637929551E-12</v>
      </c>
      <c r="J42" s="179">
        <f t="shared" ref="J42:J45" si="13">(4*PI()/3)*$F$27^3*($B$9-$B$8)*($B$6/$E$18)*(ABS(D42)/$D$27^2)</f>
        <v>4.2602719790436542E-12</v>
      </c>
      <c r="K42" s="178">
        <f t="shared" ref="K42:K45" si="14">SQRT(G42^2*$I$27^2+H42^2*$F$18^2+I42^2*E42^2+J42^2*$E$28^2)</f>
        <v>4.9769055172652467E-17</v>
      </c>
      <c r="L42" s="182">
        <f t="shared" ref="L42:L45" si="15">K42/F42</f>
        <v>0.16160501090734636</v>
      </c>
    </row>
    <row r="43" spans="1:12" x14ac:dyDescent="0.25">
      <c r="A43" s="183">
        <v>3</v>
      </c>
      <c r="B43" s="185">
        <v>104.708</v>
      </c>
      <c r="C43" s="178">
        <f>B43-B42</f>
        <v>10.959999999999994</v>
      </c>
      <c r="D43" s="179">
        <f t="shared" si="7"/>
        <v>4.5620437956204404E-5</v>
      </c>
      <c r="E43" s="179">
        <f t="shared" si="8"/>
        <v>1.4716478576428975E-6</v>
      </c>
      <c r="F43" s="179">
        <f t="shared" si="9"/>
        <v>3.4604774364522447E-16</v>
      </c>
      <c r="G43" s="179">
        <f t="shared" si="10"/>
        <v>1.8661067507416424E-9</v>
      </c>
      <c r="H43" s="179">
        <f t="shared" si="11"/>
        <v>8.7374181119724437E-18</v>
      </c>
      <c r="I43" s="178">
        <f t="shared" si="12"/>
        <v>4.2243396637929551E-12</v>
      </c>
      <c r="J43" s="179">
        <f t="shared" si="13"/>
        <v>5.3094028249778592E-12</v>
      </c>
      <c r="K43" s="178">
        <f t="shared" si="14"/>
        <v>5.6131618655897612E-17</v>
      </c>
      <c r="L43" s="182">
        <f t="shared" si="15"/>
        <v>0.16220772909718767</v>
      </c>
    </row>
    <row r="44" spans="1:12" x14ac:dyDescent="0.25">
      <c r="A44" s="183">
        <v>4</v>
      </c>
      <c r="B44" s="185">
        <v>116.18600000000001</v>
      </c>
      <c r="C44" s="178">
        <f>B44-B43</f>
        <v>11.478000000000009</v>
      </c>
      <c r="D44" s="179">
        <f t="shared" si="7"/>
        <v>4.3561596096880961E-5</v>
      </c>
      <c r="E44" s="179">
        <f t="shared" si="8"/>
        <v>1.3418147760678666E-6</v>
      </c>
      <c r="F44" s="179">
        <f t="shared" si="9"/>
        <v>3.3735049631740724E-16</v>
      </c>
      <c r="G44" s="179">
        <f t="shared" si="10"/>
        <v>1.8192057313032704E-9</v>
      </c>
      <c r="H44" s="179">
        <f t="shared" si="11"/>
        <v>8.5178198405724087E-18</v>
      </c>
      <c r="I44" s="178">
        <f t="shared" si="12"/>
        <v>4.2243396637929551E-12</v>
      </c>
      <c r="J44" s="179">
        <f t="shared" si="13"/>
        <v>5.0697904653909435E-12</v>
      </c>
      <c r="K44" s="178">
        <f t="shared" si="14"/>
        <v>5.4669468795677018E-17</v>
      </c>
      <c r="L44" s="182">
        <f t="shared" si="15"/>
        <v>0.16205539755376397</v>
      </c>
    </row>
    <row r="45" spans="1:12" x14ac:dyDescent="0.25">
      <c r="A45" s="183">
        <v>5</v>
      </c>
      <c r="B45" s="185">
        <v>128.03800000000001</v>
      </c>
      <c r="C45" s="178">
        <f>B45-B44</f>
        <v>11.852000000000004</v>
      </c>
      <c r="D45" s="179">
        <f t="shared" si="7"/>
        <v>4.21869726628417E-5</v>
      </c>
      <c r="E45" s="179">
        <f>SQRT(2)*D45*$B$13/C45</f>
        <v>1.2584666911756184E-6</v>
      </c>
      <c r="F45" s="179">
        <f t="shared" si="9"/>
        <v>3.3154362002221585E-16</v>
      </c>
      <c r="G45" s="179">
        <f t="shared" si="10"/>
        <v>1.78789140761767E-9</v>
      </c>
      <c r="H45" s="179">
        <f t="shared" si="11"/>
        <v>8.3712010371057814E-18</v>
      </c>
      <c r="I45" s="178">
        <f t="shared" si="12"/>
        <v>4.2243396637929551E-12</v>
      </c>
      <c r="J45" s="179">
        <f t="shared" si="13"/>
        <v>4.9098088897871478E-12</v>
      </c>
      <c r="K45" s="178">
        <f t="shared" si="14"/>
        <v>5.3696352218564276E-17</v>
      </c>
      <c r="L45" s="182">
        <f t="shared" si="15"/>
        <v>0.16195863523166643</v>
      </c>
    </row>
    <row r="46" spans="1:12" x14ac:dyDescent="0.25">
      <c r="L46" s="182"/>
    </row>
    <row r="47" spans="1:12" x14ac:dyDescent="0.25">
      <c r="L47" s="182"/>
    </row>
    <row r="49" spans="1:12" x14ac:dyDescent="0.25">
      <c r="A49" s="178" t="s">
        <v>7</v>
      </c>
    </row>
    <row r="50" spans="1:12" x14ac:dyDescent="0.25">
      <c r="B50" s="178" t="s">
        <v>23</v>
      </c>
      <c r="C50" s="178" t="s">
        <v>27</v>
      </c>
      <c r="D50" s="178" t="s">
        <v>24</v>
      </c>
      <c r="E50" s="178" t="s">
        <v>29</v>
      </c>
      <c r="F50" s="178" t="s">
        <v>37</v>
      </c>
      <c r="G50" s="178" t="s">
        <v>39</v>
      </c>
      <c r="H50" s="178" t="s">
        <v>40</v>
      </c>
      <c r="I50" s="178" t="s">
        <v>41</v>
      </c>
      <c r="J50" s="178" t="s">
        <v>42</v>
      </c>
      <c r="K50" s="178" t="s">
        <v>2</v>
      </c>
      <c r="L50" s="178" t="s">
        <v>43</v>
      </c>
    </row>
    <row r="51" spans="1:12" x14ac:dyDescent="0.25">
      <c r="A51" s="183">
        <v>6</v>
      </c>
      <c r="B51" s="186">
        <v>136.30099999999999</v>
      </c>
      <c r="C51" s="178">
        <f>B51-B45</f>
        <v>8.2629999999999768</v>
      </c>
      <c r="D51" s="179">
        <f>$B$12/C51</f>
        <v>6.0510710395740214E-5</v>
      </c>
      <c r="E51" s="179">
        <f>SQRT(2)*D51*$B$13/C51</f>
        <v>2.5891040575604107E-6</v>
      </c>
      <c r="F51" s="179">
        <f>-(4*PI()/3)*$F$27^3*($B$9-$B$8)*($B$6/$E$18)*(1-ABS(D51)/$D$27)</f>
        <v>1.0228627590178955E-16</v>
      </c>
      <c r="G51" s="179">
        <f>F51*3/$F$27</f>
        <v>5.5159183515510201E-10</v>
      </c>
      <c r="H51" s="179">
        <f>F51/$E$18</f>
        <v>2.5826435111415297E-18</v>
      </c>
      <c r="I51" s="178">
        <f>-(4*PI()/3)*$F$27^3*($B$9-$B$8)*($B$6/$E$18)*(-1/$D$27)</f>
        <v>4.2243396637929551E-12</v>
      </c>
      <c r="J51" s="179">
        <f>-(4*PI()/3)*$F$27^3*($B$9-$B$8)*($B$6/$E$18)*(-ABS(D51)/$D$27^2)</f>
        <v>7.0423641488269943E-12</v>
      </c>
      <c r="K51" s="178">
        <f>SQRT(G51^2*$I$27^2+H51^2*$F$18^2+I51^2*E51^2+J51^2*$E$28^2)</f>
        <v>2.0875326866061722E-17</v>
      </c>
      <c r="L51" s="182">
        <f>K51/F51</f>
        <v>0.20408727057484452</v>
      </c>
    </row>
    <row r="52" spans="1:12" x14ac:dyDescent="0.25">
      <c r="A52" s="183">
        <v>7</v>
      </c>
      <c r="B52" s="186">
        <v>143.542</v>
      </c>
      <c r="C52" s="178">
        <f>B52-B51</f>
        <v>7.2410000000000139</v>
      </c>
      <c r="D52" s="179">
        <f t="shared" ref="D52:D55" si="16">$B$12/C52</f>
        <v>6.9051236017124572E-5</v>
      </c>
      <c r="E52" s="179">
        <f t="shared" ref="E52:E54" si="17">SQRT(2)*D52*$B$13/C52</f>
        <v>3.3715368897266583E-6</v>
      </c>
      <c r="F52" s="179">
        <f t="shared" ref="F52:F55" si="18">-(4*PI()/3)*$F$27^3*($B$9-$B$8)*($B$6/$E$18)*(1-ABS(D52)/$D$27)</f>
        <v>1.3836435703384345E-16</v>
      </c>
      <c r="G52" s="179">
        <f t="shared" ref="G52:G55" si="19">F52*3/$F$27</f>
        <v>7.4614750555228885E-10</v>
      </c>
      <c r="H52" s="179">
        <f t="shared" ref="H52:H55" si="20">F52/$E$18</f>
        <v>3.4935850945422262E-18</v>
      </c>
      <c r="I52" s="178">
        <f t="shared" ref="I52:I55" si="21">-(4*PI()/3)*$F$27^3*($B$9-$B$8)*($B$6/$E$18)*(-1/$D$27)</f>
        <v>4.2243396637929551E-12</v>
      </c>
      <c r="J52" s="179">
        <f t="shared" ref="J52:J55" si="22">-(4*PI()/3)*$F$27^3*($B$9-$B$8)*($B$6/$E$18)*(-ABS(D52)/$D$27^2)</f>
        <v>8.0363285404995422E-12</v>
      </c>
      <c r="K52" s="178">
        <f t="shared" ref="K52:K55" si="23">SQRT(G52^2*$I$27^2+H52^2*$F$18^2+I52^2*E52^2+J52^2*$E$28^2)</f>
        <v>2.7509927408867436E-17</v>
      </c>
      <c r="L52" s="182">
        <f t="shared" ref="L52:L55" si="24">K52/F52</f>
        <v>0.19882235568903486</v>
      </c>
    </row>
    <row r="53" spans="1:12" x14ac:dyDescent="0.25">
      <c r="A53" s="183">
        <v>8</v>
      </c>
      <c r="B53" s="186">
        <v>150.43700000000001</v>
      </c>
      <c r="C53" s="178">
        <f>B53-B52</f>
        <v>6.8950000000000102</v>
      </c>
      <c r="D53" s="179">
        <f t="shared" si="16"/>
        <v>7.2516316171138405E-5</v>
      </c>
      <c r="E53" s="179">
        <f t="shared" si="17"/>
        <v>3.7184031117679182E-6</v>
      </c>
      <c r="F53" s="179">
        <f t="shared" si="18"/>
        <v>1.5300203256666587E-16</v>
      </c>
      <c r="G53" s="179">
        <f t="shared" si="19"/>
        <v>8.250830444441998E-10</v>
      </c>
      <c r="H53" s="179">
        <f t="shared" si="20"/>
        <v>3.8631742442081742E-18</v>
      </c>
      <c r="I53" s="178">
        <f t="shared" si="21"/>
        <v>4.2243396637929551E-12</v>
      </c>
      <c r="J53" s="179">
        <f t="shared" si="22"/>
        <v>8.4396018798777685E-12</v>
      </c>
      <c r="K53" s="178">
        <f t="shared" si="23"/>
        <v>3.0278981152814581E-17</v>
      </c>
      <c r="L53" s="182">
        <f t="shared" si="24"/>
        <v>0.19789920855869322</v>
      </c>
    </row>
    <row r="54" spans="1:12" x14ac:dyDescent="0.25">
      <c r="A54" s="183">
        <v>9</v>
      </c>
      <c r="B54" s="186">
        <v>157.352</v>
      </c>
      <c r="C54" s="178">
        <f>B54-B53</f>
        <v>6.914999999999992</v>
      </c>
      <c r="D54" s="179">
        <f t="shared" si="16"/>
        <v>7.2306579898770871E-5</v>
      </c>
      <c r="E54" s="179">
        <f t="shared" si="17"/>
        <v>3.6969250159673069E-6</v>
      </c>
      <c r="F54" s="179">
        <f t="shared" si="18"/>
        <v>1.5211603531236761E-16</v>
      </c>
      <c r="G54" s="179">
        <f t="shared" si="19"/>
        <v>8.203051908452479E-10</v>
      </c>
      <c r="H54" s="179">
        <f t="shared" si="20"/>
        <v>3.8408035494152619E-18</v>
      </c>
      <c r="I54" s="178">
        <f t="shared" si="21"/>
        <v>4.2243396637929551E-12</v>
      </c>
      <c r="J54" s="179">
        <f t="shared" si="22"/>
        <v>8.4151923299721418E-12</v>
      </c>
      <c r="K54" s="178">
        <f t="shared" si="23"/>
        <v>3.0110171961230389E-17</v>
      </c>
      <c r="L54" s="182">
        <f t="shared" si="24"/>
        <v>0.19794212950265025</v>
      </c>
    </row>
    <row r="55" spans="1:12" x14ac:dyDescent="0.25">
      <c r="A55" s="183">
        <v>10</v>
      </c>
      <c r="B55" s="186">
        <v>165.107</v>
      </c>
      <c r="C55" s="178">
        <f>B55-B54</f>
        <v>7.7549999999999955</v>
      </c>
      <c r="D55" s="179">
        <f t="shared" si="16"/>
        <v>6.4474532559638986E-5</v>
      </c>
      <c r="E55" s="179">
        <f>SQRT(2)*D55*$B$13/C55</f>
        <v>2.9394183872826308E-6</v>
      </c>
      <c r="F55" s="179">
        <f t="shared" si="18"/>
        <v>1.1903080708896874E-16</v>
      </c>
      <c r="G55" s="179">
        <f t="shared" si="19"/>
        <v>6.4188886283471108E-10</v>
      </c>
      <c r="H55" s="179">
        <f t="shared" si="20"/>
        <v>3.0054290161998749E-18</v>
      </c>
      <c r="I55" s="178">
        <f t="shared" si="21"/>
        <v>4.2243396637929551E-12</v>
      </c>
      <c r="J55" s="179">
        <f t="shared" si="22"/>
        <v>7.5036821356231254E-12</v>
      </c>
      <c r="K55" s="178">
        <f t="shared" si="23"/>
        <v>2.3919261820087253E-17</v>
      </c>
      <c r="L55" s="182">
        <f t="shared" si="24"/>
        <v>0.20095017756377109</v>
      </c>
    </row>
    <row r="56" spans="1:12" x14ac:dyDescent="0.25">
      <c r="L56" s="182"/>
    </row>
    <row r="57" spans="1:12" x14ac:dyDescent="0.25">
      <c r="L57" s="182"/>
    </row>
    <row r="59" spans="1:12" x14ac:dyDescent="0.25">
      <c r="B59" s="178" t="s">
        <v>38</v>
      </c>
    </row>
    <row r="60" spans="1:12" x14ac:dyDescent="0.25">
      <c r="A60" s="179"/>
      <c r="B60" s="178" t="s">
        <v>44</v>
      </c>
      <c r="C60" s="178" t="s">
        <v>45</v>
      </c>
    </row>
    <row r="61" spans="1:12" x14ac:dyDescent="0.25">
      <c r="A61" s="178">
        <v>1</v>
      </c>
      <c r="B61" s="179">
        <f>F41</f>
        <v>3.5058309000640999E-16</v>
      </c>
      <c r="C61" s="178">
        <f>K41</f>
        <v>5.6896390817424012E-17</v>
      </c>
    </row>
    <row r="62" spans="1:12" x14ac:dyDescent="0.25">
      <c r="A62" s="178">
        <v>2</v>
      </c>
      <c r="B62" s="179">
        <f t="shared" ref="B62:B65" si="25">F42</f>
        <v>3.0796727708639406E-16</v>
      </c>
      <c r="C62" s="178">
        <f t="shared" ref="C62:C65" si="26">K42</f>
        <v>4.9769055172652467E-17</v>
      </c>
    </row>
    <row r="63" spans="1:12" x14ac:dyDescent="0.25">
      <c r="A63" s="178">
        <v>3</v>
      </c>
      <c r="B63" s="179">
        <f t="shared" si="25"/>
        <v>3.4604774364522447E-16</v>
      </c>
      <c r="C63" s="178">
        <f t="shared" si="26"/>
        <v>5.6131618655897612E-17</v>
      </c>
    </row>
    <row r="64" spans="1:12" x14ac:dyDescent="0.25">
      <c r="A64" s="178">
        <v>4</v>
      </c>
      <c r="B64" s="179">
        <f t="shared" si="25"/>
        <v>3.3735049631740724E-16</v>
      </c>
      <c r="C64" s="178">
        <f t="shared" si="26"/>
        <v>5.4669468795677018E-17</v>
      </c>
    </row>
    <row r="65" spans="1:3" x14ac:dyDescent="0.25">
      <c r="A65" s="178">
        <v>5</v>
      </c>
      <c r="B65" s="179">
        <f t="shared" si="25"/>
        <v>3.3154362002221585E-16</v>
      </c>
      <c r="C65" s="178">
        <f t="shared" si="26"/>
        <v>5.3696352218564276E-17</v>
      </c>
    </row>
    <row r="66" spans="1:3" x14ac:dyDescent="0.25">
      <c r="A66" s="178">
        <v>6</v>
      </c>
      <c r="B66" s="179">
        <f>F51</f>
        <v>1.0228627590178955E-16</v>
      </c>
      <c r="C66" s="178">
        <f>K51</f>
        <v>2.0875326866061722E-17</v>
      </c>
    </row>
    <row r="67" spans="1:3" x14ac:dyDescent="0.25">
      <c r="A67" s="178">
        <v>7</v>
      </c>
      <c r="B67" s="179">
        <f t="shared" ref="B67:B70" si="27">F52</f>
        <v>1.3836435703384345E-16</v>
      </c>
      <c r="C67" s="178">
        <f t="shared" ref="C67:C70" si="28">K52</f>
        <v>2.7509927408867436E-17</v>
      </c>
    </row>
    <row r="68" spans="1:3" x14ac:dyDescent="0.25">
      <c r="A68" s="178">
        <v>8</v>
      </c>
      <c r="B68" s="179">
        <f t="shared" si="27"/>
        <v>1.5300203256666587E-16</v>
      </c>
      <c r="C68" s="178">
        <f t="shared" si="28"/>
        <v>3.0278981152814581E-17</v>
      </c>
    </row>
    <row r="69" spans="1:3" x14ac:dyDescent="0.25">
      <c r="A69" s="178">
        <v>9</v>
      </c>
      <c r="B69" s="179">
        <f t="shared" si="27"/>
        <v>1.5211603531236761E-16</v>
      </c>
      <c r="C69" s="178">
        <f t="shared" si="28"/>
        <v>3.0110171961230389E-17</v>
      </c>
    </row>
    <row r="70" spans="1:3" x14ac:dyDescent="0.25">
      <c r="A70" s="178">
        <v>10</v>
      </c>
      <c r="B70" s="179">
        <f t="shared" si="27"/>
        <v>1.1903080708896874E-16</v>
      </c>
      <c r="C70" s="178">
        <f t="shared" si="28"/>
        <v>2.3919261820087253E-17</v>
      </c>
    </row>
  </sheetData>
  <mergeCells count="2">
    <mergeCell ref="A1:C2"/>
    <mergeCell ref="A14:C15"/>
  </mergeCells>
  <conditionalFormatting sqref="C32:G36">
    <cfRule type="cellIs" dxfId="2" priority="5" operator="notBetween">
      <formula>-1.96</formula>
      <formula>1.96</formula>
    </cfRule>
  </conditionalFormatting>
  <conditionalFormatting sqref="L41:L47">
    <cfRule type="cellIs" priority="4" operator="greaterThan">
      <formula>0.04</formula>
    </cfRule>
  </conditionalFormatting>
  <conditionalFormatting sqref="L51:L57">
    <cfRule type="cellIs" priority="2" operator="greaterThan">
      <formula>0.04</formula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3" operator="greaterThan" id="{2E9CEB8E-626D-4F63-95DC-1721033221DC}">
            <xm:f>Dati!$B$14</xm:f>
            <x14:dxf>
              <fill>
                <patternFill>
                  <bgColor theme="5"/>
                </patternFill>
              </fill>
            </x14:dxf>
          </x14:cfRule>
          <xm:sqref>L41:L47</xm:sqref>
        </x14:conditionalFormatting>
        <x14:conditionalFormatting xmlns:xm="http://schemas.microsoft.com/office/excel/2006/main">
          <x14:cfRule type="cellIs" priority="1" operator="greaterThan" id="{1F26D0DB-C053-4931-8523-D6068126C1F3}">
            <xm:f>Dati!$B$14</xm:f>
            <x14:dxf>
              <fill>
                <patternFill>
                  <bgColor theme="5"/>
                </patternFill>
              </fill>
            </x14:dxf>
          </x14:cfRule>
          <xm:sqref>L51:L57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Dati</vt:lpstr>
      <vt:lpstr>Misura di prova</vt:lpstr>
      <vt:lpstr>Misura (1)</vt:lpstr>
      <vt:lpstr>Misura (2)</vt:lpstr>
      <vt:lpstr>Misura (3)</vt:lpstr>
      <vt:lpstr>Misura (4)</vt:lpstr>
      <vt:lpstr>Misura (5)</vt:lpstr>
      <vt:lpstr>Misura (6)</vt:lpstr>
      <vt:lpstr>Misura (7)</vt:lpstr>
      <vt:lpstr>Misura (8)</vt:lpstr>
      <vt:lpstr>Misura (9)</vt:lpstr>
      <vt:lpstr>Misura (10)</vt:lpstr>
      <vt:lpstr>Misura (11)</vt:lpstr>
      <vt:lpstr>Misura (12)</vt:lpstr>
      <vt:lpstr>Misura (13)</vt:lpstr>
      <vt:lpstr>Misura (14)</vt:lpstr>
      <vt:lpstr>Misura (15)</vt:lpstr>
      <vt:lpstr>Misura (16)</vt:lpstr>
      <vt:lpstr>Misura (17)</vt:lpstr>
      <vt:lpstr>Misura (18)</vt:lpstr>
      <vt:lpstr>Misura (19)</vt:lpstr>
      <vt:lpstr>Misura (20)</vt:lpstr>
      <vt:lpstr>Misura (21)</vt:lpstr>
      <vt:lpstr>Misura (22)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Passaro</dc:creator>
  <cp:lastModifiedBy>Davide Passaro</cp:lastModifiedBy>
  <dcterms:created xsi:type="dcterms:W3CDTF">2016-12-24T09:06:58Z</dcterms:created>
  <dcterms:modified xsi:type="dcterms:W3CDTF">2016-12-24T12:40:06Z</dcterms:modified>
</cp:coreProperties>
</file>