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c_000\Desktop\Università\Laboratorio di fisica\Reticolo-prisma\"/>
    </mc:Choice>
  </mc:AlternateContent>
  <bookViews>
    <workbookView xWindow="0" yWindow="0" windowWidth="20520" windowHeight="10992" tabRatio="389" activeTab="3"/>
  </bookViews>
  <sheets>
    <sheet name="Beta" sheetId="1" r:id="rId1"/>
    <sheet name="Sodio giallo interno" sheetId="2" r:id="rId2"/>
    <sheet name="Sodio giallo esterno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2" l="1"/>
  <c r="J27" i="2"/>
  <c r="K26" i="2"/>
  <c r="R9" i="4"/>
  <c r="R10" i="4"/>
  <c r="R11" i="4"/>
  <c r="R12" i="4"/>
  <c r="R13" i="4"/>
  <c r="R14" i="4"/>
  <c r="R15" i="4"/>
  <c r="M2" i="4"/>
  <c r="L22" i="2"/>
  <c r="K22" i="2"/>
  <c r="H4" i="2"/>
  <c r="G4" i="2"/>
  <c r="I22" i="2"/>
  <c r="F11" i="2" l="1"/>
  <c r="M3" i="4"/>
  <c r="J1" i="4"/>
  <c r="J24" i="2"/>
  <c r="C11" i="1"/>
  <c r="B11" i="1"/>
  <c r="C10" i="1" l="1"/>
  <c r="B10" i="1"/>
  <c r="C27" i="3"/>
  <c r="C26" i="3"/>
  <c r="C25" i="3"/>
  <c r="D11" i="3"/>
  <c r="D10" i="3"/>
  <c r="D9" i="3"/>
  <c r="E11" i="3" l="1"/>
  <c r="F11" i="3" s="1"/>
  <c r="P2" i="4"/>
  <c r="B23" i="3"/>
  <c r="G28" i="3"/>
  <c r="H28" i="3"/>
  <c r="I28" i="3"/>
  <c r="J28" i="3"/>
  <c r="K28" i="3"/>
  <c r="L28" i="3"/>
  <c r="M28" i="3"/>
  <c r="N28" i="3"/>
  <c r="O28" i="3"/>
  <c r="P28" i="3"/>
  <c r="Q28" i="3"/>
  <c r="G29" i="3"/>
  <c r="H29" i="3"/>
  <c r="I29" i="3"/>
  <c r="J29" i="3"/>
  <c r="K29" i="3"/>
  <c r="L29" i="3"/>
  <c r="M29" i="3"/>
  <c r="N29" i="3"/>
  <c r="O29" i="3"/>
  <c r="P29" i="3"/>
  <c r="Q29" i="3"/>
  <c r="G30" i="3"/>
  <c r="H30" i="3"/>
  <c r="I30" i="3"/>
  <c r="J30" i="3"/>
  <c r="K30" i="3"/>
  <c r="L30" i="3"/>
  <c r="M30" i="3"/>
  <c r="N30" i="3"/>
  <c r="O30" i="3"/>
  <c r="P30" i="3"/>
  <c r="Q30" i="3"/>
  <c r="G31" i="3"/>
  <c r="H31" i="3"/>
  <c r="I31" i="3"/>
  <c r="J31" i="3"/>
  <c r="K31" i="3"/>
  <c r="L31" i="3"/>
  <c r="M31" i="3"/>
  <c r="N31" i="3"/>
  <c r="O31" i="3"/>
  <c r="P31" i="3"/>
  <c r="Q31" i="3"/>
  <c r="G32" i="3"/>
  <c r="H32" i="3"/>
  <c r="I32" i="3"/>
  <c r="J32" i="3"/>
  <c r="K32" i="3"/>
  <c r="L32" i="3"/>
  <c r="M32" i="3"/>
  <c r="N32" i="3"/>
  <c r="O32" i="3"/>
  <c r="P32" i="3"/>
  <c r="Q32" i="3"/>
  <c r="G33" i="3"/>
  <c r="H33" i="3"/>
  <c r="I33" i="3"/>
  <c r="J33" i="3"/>
  <c r="K33" i="3"/>
  <c r="L33" i="3"/>
  <c r="M33" i="3"/>
  <c r="N33" i="3"/>
  <c r="O33" i="3"/>
  <c r="P33" i="3"/>
  <c r="Q33" i="3"/>
  <c r="G34" i="3"/>
  <c r="H34" i="3"/>
  <c r="I34" i="3"/>
  <c r="J34" i="3"/>
  <c r="K34" i="3"/>
  <c r="L34" i="3"/>
  <c r="M34" i="3"/>
  <c r="N34" i="3"/>
  <c r="O34" i="3"/>
  <c r="P34" i="3"/>
  <c r="Q34" i="3"/>
  <c r="G35" i="3"/>
  <c r="H35" i="3"/>
  <c r="I35" i="3"/>
  <c r="J35" i="3"/>
  <c r="K35" i="3"/>
  <c r="L35" i="3"/>
  <c r="M35" i="3"/>
  <c r="N35" i="3"/>
  <c r="O35" i="3"/>
  <c r="P35" i="3"/>
  <c r="Q35" i="3"/>
  <c r="G36" i="3"/>
  <c r="H36" i="3"/>
  <c r="I36" i="3"/>
  <c r="J36" i="3"/>
  <c r="K36" i="3"/>
  <c r="L36" i="3"/>
  <c r="M36" i="3"/>
  <c r="N36" i="3"/>
  <c r="O36" i="3"/>
  <c r="P36" i="3"/>
  <c r="Q36" i="3"/>
  <c r="G37" i="3"/>
  <c r="H37" i="3"/>
  <c r="I37" i="3"/>
  <c r="J37" i="3"/>
  <c r="K37" i="3"/>
  <c r="L37" i="3"/>
  <c r="M37" i="3"/>
  <c r="N37" i="3"/>
  <c r="O37" i="3"/>
  <c r="P37" i="3"/>
  <c r="Q37" i="3"/>
  <c r="H27" i="3"/>
  <c r="I27" i="3"/>
  <c r="J27" i="3"/>
  <c r="K27" i="3"/>
  <c r="L27" i="3"/>
  <c r="M27" i="3"/>
  <c r="N27" i="3"/>
  <c r="O27" i="3"/>
  <c r="P27" i="3"/>
  <c r="Q27" i="3"/>
  <c r="G27" i="3"/>
  <c r="G25" i="3" a="1"/>
  <c r="G25" i="3" s="1"/>
  <c r="J25" i="3"/>
  <c r="N25" i="3"/>
  <c r="G26" i="3" a="1"/>
  <c r="G26" i="3"/>
  <c r="H26" i="3"/>
  <c r="I26" i="3"/>
  <c r="J26" i="3"/>
  <c r="K26" i="3"/>
  <c r="L26" i="3"/>
  <c r="M26" i="3"/>
  <c r="N26" i="3"/>
  <c r="O26" i="3"/>
  <c r="P26" i="3"/>
  <c r="Q26" i="3"/>
  <c r="R26" i="3"/>
  <c r="G31" i="2" a="1"/>
  <c r="G31" i="2" s="1"/>
  <c r="G34" i="2" s="1"/>
  <c r="E17" i="3"/>
  <c r="F17" i="3" s="1"/>
  <c r="D17" i="3"/>
  <c r="D16" i="3"/>
  <c r="E16" i="3" s="1"/>
  <c r="F16" i="3" s="1"/>
  <c r="D15" i="3"/>
  <c r="E15" i="3" s="1"/>
  <c r="F15" i="3" s="1"/>
  <c r="G15" i="3" s="1"/>
  <c r="H15" i="3" s="1"/>
  <c r="I15" i="3" s="1"/>
  <c r="E14" i="3"/>
  <c r="F14" i="3" s="1"/>
  <c r="G14" i="3" s="1"/>
  <c r="H14" i="3" s="1"/>
  <c r="I14" i="3" s="1"/>
  <c r="D14" i="3"/>
  <c r="D13" i="3"/>
  <c r="E13" i="3" s="1"/>
  <c r="F13" i="3" s="1"/>
  <c r="D12" i="3"/>
  <c r="D8" i="3"/>
  <c r="E8" i="3" s="1"/>
  <c r="F8" i="3" s="1"/>
  <c r="G8" i="3" s="1"/>
  <c r="H8" i="3" s="1"/>
  <c r="I8" i="3" s="1"/>
  <c r="D7" i="3"/>
  <c r="E7" i="3" s="1"/>
  <c r="F7" i="3" s="1"/>
  <c r="D6" i="3"/>
  <c r="E6" i="3" s="1"/>
  <c r="F6" i="3" s="1"/>
  <c r="D5" i="3"/>
  <c r="E5" i="3" s="1"/>
  <c r="F5" i="3" s="1"/>
  <c r="E4" i="3"/>
  <c r="F4" i="3" s="1"/>
  <c r="G4" i="3" s="1"/>
  <c r="D4" i="3"/>
  <c r="H3" i="3"/>
  <c r="I3" i="3" s="1"/>
  <c r="E3" i="3"/>
  <c r="D3" i="3"/>
  <c r="E9" i="3" s="1"/>
  <c r="F9" i="3" s="1"/>
  <c r="G9" i="3" s="1"/>
  <c r="H9" i="3" s="1"/>
  <c r="I9" i="3" s="1"/>
  <c r="B21" i="3"/>
  <c r="D13" i="2"/>
  <c r="D14" i="2"/>
  <c r="D16" i="2"/>
  <c r="B21" i="2"/>
  <c r="B25" i="2" s="1"/>
  <c r="E10" i="3" l="1"/>
  <c r="F10" i="3" s="1"/>
  <c r="G10" i="3" s="1"/>
  <c r="H10" i="3" s="1"/>
  <c r="I10" i="3" s="1"/>
  <c r="G11" i="3"/>
  <c r="H11" i="3" s="1"/>
  <c r="I11" i="3" s="1"/>
  <c r="E12" i="3"/>
  <c r="F12" i="3" s="1"/>
  <c r="G12" i="3" s="1"/>
  <c r="H12" i="3" s="1"/>
  <c r="I12" i="3" s="1"/>
  <c r="G6" i="3"/>
  <c r="H6" i="3" s="1"/>
  <c r="I6" i="3" s="1"/>
  <c r="G17" i="3"/>
  <c r="H17" i="3" s="1"/>
  <c r="I17" i="3" s="1"/>
  <c r="G7" i="3"/>
  <c r="H7" i="3" s="1"/>
  <c r="I7" i="3" s="1"/>
  <c r="G13" i="3"/>
  <c r="H13" i="3" s="1"/>
  <c r="I13" i="3" s="1"/>
  <c r="G5" i="3"/>
  <c r="H5" i="3" s="1"/>
  <c r="I5" i="3" s="1"/>
  <c r="G16" i="3"/>
  <c r="H16" i="3" s="1"/>
  <c r="I16" i="3" s="1"/>
  <c r="E16" i="2"/>
  <c r="F16" i="2" s="1"/>
  <c r="B23" i="2"/>
  <c r="G17" i="2" s="1"/>
  <c r="G39" i="2"/>
  <c r="D12" i="2"/>
  <c r="E12" i="2" s="1"/>
  <c r="F12" i="2" s="1"/>
  <c r="G38" i="2"/>
  <c r="G33" i="2"/>
  <c r="G41" i="2"/>
  <c r="D7" i="2"/>
  <c r="E7" i="2" s="1"/>
  <c r="F7" i="2" s="1"/>
  <c r="G43" i="2"/>
  <c r="G35" i="2"/>
  <c r="D6" i="2"/>
  <c r="G40" i="2"/>
  <c r="G37" i="2"/>
  <c r="G36" i="2"/>
  <c r="D11" i="2"/>
  <c r="E11" i="2" s="1"/>
  <c r="D10" i="2"/>
  <c r="D9" i="2"/>
  <c r="D5" i="2"/>
  <c r="D17" i="2"/>
  <c r="E17" i="2" s="1"/>
  <c r="F17" i="2" s="1"/>
  <c r="G42" i="2"/>
  <c r="H3" i="2"/>
  <c r="S2" i="4"/>
  <c r="R2" i="4"/>
  <c r="Q2" i="4"/>
  <c r="H4" i="3"/>
  <c r="Q25" i="3"/>
  <c r="M25" i="3"/>
  <c r="I25" i="3"/>
  <c r="P25" i="3"/>
  <c r="L25" i="3"/>
  <c r="H25" i="3"/>
  <c r="O25" i="3"/>
  <c r="K25" i="3"/>
  <c r="N31" i="2"/>
  <c r="J31" i="2"/>
  <c r="Q31" i="2"/>
  <c r="M31" i="2"/>
  <c r="I31" i="2"/>
  <c r="P31" i="2"/>
  <c r="L31" i="2"/>
  <c r="H31" i="2"/>
  <c r="O31" i="2"/>
  <c r="K31" i="2"/>
  <c r="D15" i="2"/>
  <c r="D8" i="2"/>
  <c r="D4" i="2"/>
  <c r="E4" i="2" s="1"/>
  <c r="F4" i="2" s="1"/>
  <c r="C1" i="4"/>
  <c r="D33" i="4" s="1"/>
  <c r="B3" i="3"/>
  <c r="B3" i="2"/>
  <c r="D3" i="2" s="1"/>
  <c r="E3" i="2" s="1"/>
  <c r="AF6" i="1"/>
  <c r="AF5" i="1"/>
  <c r="AE6" i="1"/>
  <c r="AE5" i="1"/>
  <c r="AD5" i="1"/>
  <c r="AD6" i="1"/>
  <c r="AC6" i="1"/>
  <c r="AC5" i="1"/>
  <c r="B7" i="1"/>
  <c r="E7" i="1" s="1"/>
  <c r="Q7" i="1"/>
  <c r="K7" i="1"/>
  <c r="Q6" i="1"/>
  <c r="K6" i="1"/>
  <c r="E6" i="1"/>
  <c r="Q5" i="1"/>
  <c r="T5" i="1" s="1"/>
  <c r="H5" i="1"/>
  <c r="K5" i="1" s="1"/>
  <c r="B5" i="1"/>
  <c r="E5" i="1" s="1"/>
  <c r="G11" i="2" l="1"/>
  <c r="G16" i="2"/>
  <c r="G7" i="2"/>
  <c r="G12" i="2"/>
  <c r="I12" i="2" s="1"/>
  <c r="J12" i="2" s="1"/>
  <c r="K12" i="2" s="1"/>
  <c r="E8" i="2"/>
  <c r="L35" i="2"/>
  <c r="L43" i="2"/>
  <c r="L38" i="2"/>
  <c r="L41" i="2"/>
  <c r="L33" i="2"/>
  <c r="L36" i="2"/>
  <c r="L37" i="2"/>
  <c r="L39" i="2"/>
  <c r="L34" i="2"/>
  <c r="L42" i="2"/>
  <c r="L40" i="2"/>
  <c r="I36" i="2"/>
  <c r="I41" i="2"/>
  <c r="I39" i="2"/>
  <c r="I34" i="2"/>
  <c r="I42" i="2"/>
  <c r="I43" i="2"/>
  <c r="I37" i="2"/>
  <c r="I35" i="2"/>
  <c r="I40" i="2"/>
  <c r="I38" i="2"/>
  <c r="I33" i="2"/>
  <c r="H17" i="2"/>
  <c r="E5" i="2"/>
  <c r="E6" i="2"/>
  <c r="K38" i="2"/>
  <c r="K35" i="2"/>
  <c r="K41" i="2"/>
  <c r="K33" i="2"/>
  <c r="K36" i="2"/>
  <c r="K39" i="2"/>
  <c r="K43" i="2"/>
  <c r="K34" i="2"/>
  <c r="K42" i="2"/>
  <c r="K37" i="2"/>
  <c r="K40" i="2"/>
  <c r="J41" i="2"/>
  <c r="J33" i="2"/>
  <c r="J43" i="2"/>
  <c r="J38" i="2"/>
  <c r="J36" i="2"/>
  <c r="J39" i="2"/>
  <c r="J40" i="2"/>
  <c r="J34" i="2"/>
  <c r="J42" i="2"/>
  <c r="J35" i="2"/>
  <c r="J37" i="2"/>
  <c r="E9" i="2"/>
  <c r="M40" i="2"/>
  <c r="M35" i="2"/>
  <c r="M43" i="2"/>
  <c r="M38" i="2"/>
  <c r="M34" i="2"/>
  <c r="M42" i="2"/>
  <c r="M37" i="2"/>
  <c r="M41" i="2"/>
  <c r="M33" i="2"/>
  <c r="M36" i="2"/>
  <c r="M39" i="2"/>
  <c r="Q36" i="2"/>
  <c r="Q38" i="2"/>
  <c r="Q39" i="2"/>
  <c r="Q34" i="2"/>
  <c r="Q42" i="2"/>
  <c r="Q41" i="2"/>
  <c r="Q33" i="2"/>
  <c r="Q37" i="2"/>
  <c r="Q43" i="2"/>
  <c r="Q40" i="2"/>
  <c r="Q35" i="2"/>
  <c r="H7" i="2"/>
  <c r="I7" i="2" s="1"/>
  <c r="J7" i="2" s="1"/>
  <c r="K7" i="2" s="1"/>
  <c r="O34" i="2"/>
  <c r="O42" i="2"/>
  <c r="O37" i="2"/>
  <c r="O40" i="2"/>
  <c r="O35" i="2"/>
  <c r="O43" i="2"/>
  <c r="O39" i="2"/>
  <c r="O38" i="2"/>
  <c r="O41" i="2"/>
  <c r="O33" i="2"/>
  <c r="O36" i="2"/>
  <c r="N37" i="2"/>
  <c r="N40" i="2"/>
  <c r="N35" i="2"/>
  <c r="N43" i="2"/>
  <c r="N36" i="2"/>
  <c r="N39" i="2"/>
  <c r="N38" i="2"/>
  <c r="N41" i="2"/>
  <c r="N33" i="2"/>
  <c r="N34" i="2"/>
  <c r="N42" i="2"/>
  <c r="E10" i="2"/>
  <c r="E14" i="2"/>
  <c r="H39" i="2"/>
  <c r="H33" i="2"/>
  <c r="H34" i="2"/>
  <c r="H42" i="2"/>
  <c r="H37" i="2"/>
  <c r="H40" i="2"/>
  <c r="H38" i="2"/>
  <c r="H41" i="2"/>
  <c r="H35" i="2"/>
  <c r="H43" i="2"/>
  <c r="H36" i="2"/>
  <c r="H12" i="2"/>
  <c r="E15" i="2"/>
  <c r="P39" i="2"/>
  <c r="P34" i="2"/>
  <c r="P42" i="2"/>
  <c r="P37" i="2"/>
  <c r="P40" i="2"/>
  <c r="P36" i="2"/>
  <c r="P35" i="2"/>
  <c r="P43" i="2"/>
  <c r="P41" i="2"/>
  <c r="P33" i="2"/>
  <c r="P38" i="2"/>
  <c r="H16" i="2"/>
  <c r="H11" i="2"/>
  <c r="I11" i="2" s="1"/>
  <c r="J11" i="2" s="1"/>
  <c r="K11" i="2" s="1"/>
  <c r="E13" i="2"/>
  <c r="I4" i="3"/>
  <c r="H18" i="3"/>
  <c r="G21" i="3" s="1"/>
  <c r="I3" i="2"/>
  <c r="J3" i="2" s="1"/>
  <c r="K3" i="2" s="1"/>
  <c r="I17" i="2"/>
  <c r="J17" i="2" s="1"/>
  <c r="K17" i="2" s="1"/>
  <c r="D56" i="4"/>
  <c r="D24" i="4"/>
  <c r="D42" i="4"/>
  <c r="D43" i="4"/>
  <c r="D50" i="4"/>
  <c r="D36" i="4"/>
  <c r="D49" i="4"/>
  <c r="D57" i="4"/>
  <c r="D17" i="4"/>
  <c r="D9" i="4"/>
  <c r="D48" i="4"/>
  <c r="D15" i="4"/>
  <c r="D23" i="4"/>
  <c r="D30" i="4"/>
  <c r="D28" i="4"/>
  <c r="D40" i="4"/>
  <c r="D29" i="4"/>
  <c r="D35" i="4"/>
  <c r="D34" i="4"/>
  <c r="D47" i="4"/>
  <c r="D55" i="4"/>
  <c r="D63" i="4"/>
  <c r="D22" i="4"/>
  <c r="D39" i="4"/>
  <c r="D54" i="4"/>
  <c r="D16" i="4"/>
  <c r="D41" i="4"/>
  <c r="D20" i="4"/>
  <c r="D53" i="4"/>
  <c r="D21" i="4"/>
  <c r="D61" i="4"/>
  <c r="D10" i="4"/>
  <c r="D62" i="4"/>
  <c r="D11" i="4"/>
  <c r="D8" i="4"/>
  <c r="D60" i="4"/>
  <c r="D7" i="4"/>
  <c r="D27" i="4"/>
  <c r="D14" i="4"/>
  <c r="D46" i="4"/>
  <c r="D3" i="4"/>
  <c r="H33" i="4" s="1"/>
  <c r="S5" i="1"/>
  <c r="U5" i="1"/>
  <c r="V5" i="1" s="1"/>
  <c r="W5" i="1" s="1"/>
  <c r="Y5" i="1"/>
  <c r="Z5" i="1" s="1"/>
  <c r="AA5" i="1" s="1"/>
  <c r="T7" i="1"/>
  <c r="AD7" i="1" s="1"/>
  <c r="S7" i="1"/>
  <c r="AC7" i="1" s="1"/>
  <c r="S6" i="1"/>
  <c r="T6" i="1"/>
  <c r="Y6" i="1" s="1"/>
  <c r="H8" i="4" l="1"/>
  <c r="G8" i="4" s="1"/>
  <c r="G33" i="4"/>
  <c r="J33" i="4"/>
  <c r="H41" i="4"/>
  <c r="G41" i="4" s="1"/>
  <c r="H34" i="4"/>
  <c r="G34" i="4" s="1"/>
  <c r="H48" i="4"/>
  <c r="G48" i="4" s="1"/>
  <c r="H42" i="4"/>
  <c r="G42" i="4" s="1"/>
  <c r="H11" i="4"/>
  <c r="G11" i="4" s="1"/>
  <c r="H16" i="4"/>
  <c r="G16" i="4" s="1"/>
  <c r="H35" i="4"/>
  <c r="G35" i="4" s="1"/>
  <c r="H9" i="4"/>
  <c r="G9" i="4" s="1"/>
  <c r="H24" i="4"/>
  <c r="G24" i="4" s="1"/>
  <c r="H54" i="4"/>
  <c r="G54" i="4" s="1"/>
  <c r="H56" i="4"/>
  <c r="G56" i="4" s="1"/>
  <c r="H46" i="4"/>
  <c r="G46" i="4" s="1"/>
  <c r="H10" i="4"/>
  <c r="G10" i="4" s="1"/>
  <c r="H39" i="4"/>
  <c r="G39" i="4" s="1"/>
  <c r="H40" i="4"/>
  <c r="G40" i="4" s="1"/>
  <c r="H57" i="4"/>
  <c r="G57" i="4" s="1"/>
  <c r="H29" i="4"/>
  <c r="G29" i="4" s="1"/>
  <c r="H14" i="4"/>
  <c r="G14" i="4" s="1"/>
  <c r="H28" i="4"/>
  <c r="G28" i="4" s="1"/>
  <c r="H49" i="4"/>
  <c r="G49" i="4" s="1"/>
  <c r="H62" i="4"/>
  <c r="G62" i="4" s="1"/>
  <c r="H17" i="4"/>
  <c r="G17" i="4" s="1"/>
  <c r="H61" i="4"/>
  <c r="G61" i="4" s="1"/>
  <c r="H22" i="4"/>
  <c r="G22" i="4" s="1"/>
  <c r="H27" i="4"/>
  <c r="G27" i="4" s="1"/>
  <c r="H21" i="4"/>
  <c r="G21" i="4" s="1"/>
  <c r="H63" i="4"/>
  <c r="G63" i="4" s="1"/>
  <c r="H30" i="4"/>
  <c r="G30" i="4" s="1"/>
  <c r="H36" i="4"/>
  <c r="G36" i="4" s="1"/>
  <c r="H53" i="4"/>
  <c r="G53" i="4" s="1"/>
  <c r="H55" i="4"/>
  <c r="G55" i="4" s="1"/>
  <c r="H23" i="4"/>
  <c r="G23" i="4" s="1"/>
  <c r="H50" i="4"/>
  <c r="G50" i="4" s="1"/>
  <c r="E33" i="4"/>
  <c r="F33" i="4" s="1"/>
  <c r="H60" i="4"/>
  <c r="G60" i="4" s="1"/>
  <c r="H20" i="4"/>
  <c r="G20" i="4" s="1"/>
  <c r="H47" i="4"/>
  <c r="G47" i="4" s="1"/>
  <c r="H15" i="4"/>
  <c r="G15" i="4" s="1"/>
  <c r="H43" i="4"/>
  <c r="G43" i="4" s="1"/>
  <c r="E7" i="4"/>
  <c r="F7" i="4" s="1"/>
  <c r="H7" i="4"/>
  <c r="G7" i="4" s="1"/>
  <c r="I4" i="2"/>
  <c r="J4" i="2" s="1"/>
  <c r="K4" i="2" s="1"/>
  <c r="I16" i="2"/>
  <c r="J16" i="2" s="1"/>
  <c r="K16" i="2" s="1"/>
  <c r="F10" i="2"/>
  <c r="G10" i="2" s="1"/>
  <c r="H10" i="2"/>
  <c r="F15" i="2"/>
  <c r="G15" i="2" s="1"/>
  <c r="H15" i="2"/>
  <c r="F13" i="2"/>
  <c r="G13" i="2" s="1"/>
  <c r="H13" i="2"/>
  <c r="F6" i="2"/>
  <c r="G6" i="2" s="1"/>
  <c r="H6" i="2"/>
  <c r="F14" i="2"/>
  <c r="G14" i="2" s="1"/>
  <c r="I14" i="2" s="1"/>
  <c r="J14" i="2" s="1"/>
  <c r="K14" i="2" s="1"/>
  <c r="H14" i="2"/>
  <c r="F9" i="2"/>
  <c r="G9" i="2" s="1"/>
  <c r="H9" i="2"/>
  <c r="F5" i="2"/>
  <c r="G5" i="2" s="1"/>
  <c r="I5" i="2" s="1"/>
  <c r="J5" i="2" s="1"/>
  <c r="K5" i="2" s="1"/>
  <c r="H5" i="2"/>
  <c r="F8" i="2"/>
  <c r="G8" i="2" s="1"/>
  <c r="H8" i="2"/>
  <c r="AE7" i="1"/>
  <c r="AF7" i="1" s="1"/>
  <c r="J54" i="4"/>
  <c r="J57" i="4"/>
  <c r="I18" i="3"/>
  <c r="F21" i="3" s="1"/>
  <c r="H21" i="3"/>
  <c r="E47" i="4"/>
  <c r="F47" i="4" s="1"/>
  <c r="E40" i="4"/>
  <c r="F40" i="4" s="1"/>
  <c r="E57" i="4"/>
  <c r="F57" i="4" s="1"/>
  <c r="E43" i="4"/>
  <c r="F43" i="4" s="1"/>
  <c r="E41" i="4"/>
  <c r="F41" i="4" s="1"/>
  <c r="E22" i="4"/>
  <c r="F22" i="4" s="1"/>
  <c r="E49" i="4"/>
  <c r="F49" i="4" s="1"/>
  <c r="E42" i="4"/>
  <c r="F42" i="4" s="1"/>
  <c r="E36" i="4"/>
  <c r="F36" i="4" s="1"/>
  <c r="E24" i="4"/>
  <c r="F24" i="4" s="1"/>
  <c r="E17" i="4"/>
  <c r="F17" i="4" s="1"/>
  <c r="E50" i="4"/>
  <c r="F50" i="4" s="1"/>
  <c r="E56" i="4"/>
  <c r="F56" i="4" s="1"/>
  <c r="E9" i="4"/>
  <c r="E55" i="4"/>
  <c r="F55" i="4" s="1"/>
  <c r="E16" i="4"/>
  <c r="F16" i="4" s="1"/>
  <c r="E34" i="4"/>
  <c r="F34" i="4" s="1"/>
  <c r="E23" i="4"/>
  <c r="F23" i="4" s="1"/>
  <c r="E54" i="4"/>
  <c r="F54" i="4" s="1"/>
  <c r="E63" i="4"/>
  <c r="F63" i="4" s="1"/>
  <c r="E30" i="4"/>
  <c r="F30" i="4" s="1"/>
  <c r="E35" i="4"/>
  <c r="F35" i="4" s="1"/>
  <c r="E28" i="4"/>
  <c r="F28" i="4" s="1"/>
  <c r="E39" i="4"/>
  <c r="F39" i="4" s="1"/>
  <c r="E29" i="4"/>
  <c r="F29" i="4" s="1"/>
  <c r="E15" i="4"/>
  <c r="F15" i="4" s="1"/>
  <c r="E48" i="4"/>
  <c r="F48" i="4" s="1"/>
  <c r="E20" i="4"/>
  <c r="F20" i="4" s="1"/>
  <c r="E21" i="4"/>
  <c r="F21" i="4" s="1"/>
  <c r="E46" i="4"/>
  <c r="F46" i="4" s="1"/>
  <c r="E53" i="4"/>
  <c r="F53" i="4" s="1"/>
  <c r="E10" i="4"/>
  <c r="E27" i="4"/>
  <c r="F27" i="4" s="1"/>
  <c r="E8" i="4"/>
  <c r="E11" i="4"/>
  <c r="E14" i="4"/>
  <c r="F14" i="4" s="1"/>
  <c r="E61" i="4"/>
  <c r="F61" i="4" s="1"/>
  <c r="E60" i="4"/>
  <c r="F60" i="4" s="1"/>
  <c r="E62" i="4"/>
  <c r="F62" i="4" s="1"/>
  <c r="Y7" i="1"/>
  <c r="Z7" i="1" s="1"/>
  <c r="AA7" i="1" s="1"/>
  <c r="U7" i="1"/>
  <c r="V7" i="1" s="1"/>
  <c r="W7" i="1" s="1"/>
  <c r="Z6" i="1"/>
  <c r="AA6" i="1" s="1"/>
  <c r="U6" i="1"/>
  <c r="V6" i="1" s="1"/>
  <c r="W6" i="1" s="1"/>
  <c r="J35" i="4" l="1"/>
  <c r="K35" i="4" s="1"/>
  <c r="J28" i="4"/>
  <c r="K28" i="4" s="1"/>
  <c r="J23" i="4"/>
  <c r="J49" i="4"/>
  <c r="J22" i="4"/>
  <c r="K22" i="4" s="1"/>
  <c r="J42" i="4"/>
  <c r="K42" i="4" s="1"/>
  <c r="J20" i="4"/>
  <c r="K20" i="4" s="1"/>
  <c r="J34" i="4"/>
  <c r="K34" i="4" s="1"/>
  <c r="J21" i="4"/>
  <c r="K21" i="4" s="1"/>
  <c r="J24" i="4"/>
  <c r="K24" i="4" s="1"/>
  <c r="J61" i="4"/>
  <c r="K61" i="4" s="1"/>
  <c r="J41" i="4"/>
  <c r="K41" i="4" s="1"/>
  <c r="J8" i="4"/>
  <c r="K8" i="4" s="1"/>
  <c r="J27" i="4"/>
  <c r="K27" i="4" s="1"/>
  <c r="J39" i="4"/>
  <c r="J29" i="4"/>
  <c r="K29" i="4" s="1"/>
  <c r="J10" i="4"/>
  <c r="K10" i="4" s="1"/>
  <c r="J36" i="4"/>
  <c r="J47" i="4"/>
  <c r="K47" i="4" s="1"/>
  <c r="J53" i="4"/>
  <c r="K53" i="4" s="1"/>
  <c r="K33" i="4"/>
  <c r="J62" i="4"/>
  <c r="K62" i="4" s="1"/>
  <c r="J16" i="4"/>
  <c r="K16" i="4" s="1"/>
  <c r="J17" i="4"/>
  <c r="K17" i="4" s="1"/>
  <c r="J15" i="4"/>
  <c r="K15" i="4" s="1"/>
  <c r="J14" i="4"/>
  <c r="K14" i="4" s="1"/>
  <c r="J9" i="4"/>
  <c r="K9" i="4" s="1"/>
  <c r="J11" i="4"/>
  <c r="K11" i="4" s="1"/>
  <c r="J55" i="4"/>
  <c r="K55" i="4" s="1"/>
  <c r="J56" i="4"/>
  <c r="K56" i="4" s="1"/>
  <c r="J43" i="4"/>
  <c r="K43" i="4" s="1"/>
  <c r="J60" i="4"/>
  <c r="K60" i="4" s="1"/>
  <c r="J30" i="4"/>
  <c r="J48" i="4"/>
  <c r="K48" i="4" s="1"/>
  <c r="J46" i="4"/>
  <c r="K46" i="4" s="1"/>
  <c r="I33" i="4"/>
  <c r="J63" i="4"/>
  <c r="K63" i="4" s="1"/>
  <c r="J50" i="4"/>
  <c r="K50" i="4" s="1"/>
  <c r="J40" i="4"/>
  <c r="K40" i="4" s="1"/>
  <c r="I10" i="2"/>
  <c r="J10" i="2" s="1"/>
  <c r="K10" i="2" s="1"/>
  <c r="I8" i="2"/>
  <c r="J8" i="2" s="1"/>
  <c r="K8" i="2" s="1"/>
  <c r="I6" i="2"/>
  <c r="J6" i="2" s="1"/>
  <c r="K6" i="2" s="1"/>
  <c r="I13" i="2"/>
  <c r="J13" i="2" s="1"/>
  <c r="K13" i="2" s="1"/>
  <c r="I9" i="2"/>
  <c r="J9" i="2" s="1"/>
  <c r="K9" i="2" s="1"/>
  <c r="I15" i="2"/>
  <c r="J15" i="2" s="1"/>
  <c r="K15" i="2" s="1"/>
  <c r="I21" i="3"/>
  <c r="I35" i="4"/>
  <c r="I28" i="4"/>
  <c r="I43" i="4"/>
  <c r="I40" i="4"/>
  <c r="I42" i="4"/>
  <c r="K49" i="4"/>
  <c r="I60" i="4"/>
  <c r="K57" i="4"/>
  <c r="I54" i="4"/>
  <c r="I39" i="4"/>
  <c r="I21" i="4"/>
  <c r="J7" i="4"/>
  <c r="I7" i="4"/>
  <c r="I41" i="4"/>
  <c r="I53" i="4"/>
  <c r="I15" i="4"/>
  <c r="I61" i="4"/>
  <c r="I50" i="4"/>
  <c r="I55" i="4"/>
  <c r="I49" i="4"/>
  <c r="I22" i="4"/>
  <c r="I27" i="4"/>
  <c r="I17" i="4"/>
  <c r="K54" i="4"/>
  <c r="I30" i="4"/>
  <c r="I62" i="4"/>
  <c r="I34" i="4"/>
  <c r="I47" i="4"/>
  <c r="I56" i="4"/>
  <c r="I29" i="4"/>
  <c r="I36" i="4"/>
  <c r="I24" i="4"/>
  <c r="I63" i="4"/>
  <c r="I23" i="4"/>
  <c r="I20" i="4"/>
  <c r="I48" i="4"/>
  <c r="I46" i="4"/>
  <c r="I57" i="4"/>
  <c r="I16" i="4"/>
  <c r="I14" i="4"/>
  <c r="F8" i="4"/>
  <c r="I8" i="4"/>
  <c r="F9" i="4"/>
  <c r="I9" i="4"/>
  <c r="F11" i="4"/>
  <c r="I11" i="4"/>
  <c r="F10" i="4"/>
  <c r="I10" i="4"/>
  <c r="J37" i="4" l="1"/>
  <c r="O34" i="4" s="1"/>
  <c r="J25" i="4"/>
  <c r="O21" i="4" s="1"/>
  <c r="K23" i="4"/>
  <c r="K36" i="4"/>
  <c r="K37" i="4" s="1"/>
  <c r="J31" i="4"/>
  <c r="O28" i="4" s="1"/>
  <c r="K30" i="4"/>
  <c r="K31" i="4" s="1"/>
  <c r="J58" i="4"/>
  <c r="O54" i="4" s="1"/>
  <c r="J44" i="4"/>
  <c r="O40" i="4" s="1"/>
  <c r="K39" i="4"/>
  <c r="K44" i="4" s="1"/>
  <c r="J18" i="4"/>
  <c r="O8" i="4" s="1"/>
  <c r="J64" i="4"/>
  <c r="O60" i="4" s="1"/>
  <c r="J51" i="4"/>
  <c r="O47" i="4" s="1"/>
  <c r="K18" i="2"/>
  <c r="H22" i="2" s="1"/>
  <c r="J18" i="2"/>
  <c r="G21" i="2" s="1"/>
  <c r="H24" i="2"/>
  <c r="I24" i="2" s="1"/>
  <c r="K51" i="4"/>
  <c r="K18" i="4"/>
  <c r="K64" i="4"/>
  <c r="K58" i="4"/>
  <c r="K25" i="4"/>
  <c r="K7" i="4"/>
  <c r="K12" i="4" s="1"/>
  <c r="J12" i="4"/>
  <c r="O7" i="4" s="1"/>
  <c r="M60" i="4" l="1"/>
  <c r="N60" i="4" s="1"/>
  <c r="M21" i="4"/>
  <c r="N21" i="4" s="1"/>
  <c r="M34" i="4"/>
  <c r="N34" i="4" s="1"/>
  <c r="M28" i="4"/>
  <c r="P28" i="4" s="1"/>
  <c r="M40" i="4"/>
  <c r="P40" i="4" s="1"/>
  <c r="M54" i="4"/>
  <c r="P54" i="4" s="1"/>
  <c r="M8" i="4"/>
  <c r="R8" i="4" s="1"/>
  <c r="M47" i="4"/>
  <c r="N47" i="4" s="1"/>
  <c r="J21" i="2"/>
  <c r="L21" i="2" s="1"/>
  <c r="I21" i="2"/>
  <c r="H21" i="2"/>
  <c r="F21" i="2"/>
  <c r="M7" i="4"/>
  <c r="R7" i="4" s="1"/>
  <c r="N40" i="4"/>
  <c r="P60" i="4" l="1"/>
  <c r="P21" i="4"/>
  <c r="P34" i="4"/>
  <c r="N28" i="4"/>
  <c r="N54" i="4"/>
  <c r="N8" i="4"/>
  <c r="P47" i="4"/>
  <c r="N7" i="4"/>
  <c r="F28" i="2"/>
  <c r="K21" i="2"/>
  <c r="M21" i="2" l="1"/>
  <c r="K23" i="2"/>
  <c r="H28" i="2"/>
  <c r="G28" i="2"/>
</calcChain>
</file>

<file path=xl/sharedStrings.xml><?xml version="1.0" encoding="utf-8"?>
<sst xmlns="http://schemas.openxmlformats.org/spreadsheetml/2006/main" count="168" uniqueCount="85">
  <si>
    <t>PERPENDICOLARITà DEL RETICOLO</t>
  </si>
  <si>
    <t>zero</t>
  </si>
  <si>
    <t xml:space="preserve">gradi </t>
  </si>
  <si>
    <t>primi</t>
  </si>
  <si>
    <t>ordine</t>
  </si>
  <si>
    <t>errore</t>
  </si>
  <si>
    <t>destra</t>
  </si>
  <si>
    <t>sinistra</t>
  </si>
  <si>
    <t>theta 1</t>
  </si>
  <si>
    <t>theta 2</t>
  </si>
  <si>
    <t>rad</t>
  </si>
  <si>
    <t>betarad</t>
  </si>
  <si>
    <t>betagrad</t>
  </si>
  <si>
    <t>betaprim</t>
  </si>
  <si>
    <t>beta2</t>
  </si>
  <si>
    <t>theta 2 grad</t>
  </si>
  <si>
    <t>theta 1 grad</t>
  </si>
  <si>
    <t>delta grad</t>
  </si>
  <si>
    <t>delta prim</t>
  </si>
  <si>
    <t>Beta</t>
  </si>
  <si>
    <t>misura</t>
  </si>
  <si>
    <t>gradi</t>
  </si>
  <si>
    <t>andando a destra prima</t>
  </si>
  <si>
    <t>d</t>
  </si>
  <si>
    <t>massimo centrale</t>
  </si>
  <si>
    <t>Rosso</t>
  </si>
  <si>
    <t>lambda (m)</t>
  </si>
  <si>
    <t>Costanti</t>
  </si>
  <si>
    <t>PI/180</t>
  </si>
  <si>
    <t>Differenze con lo zero</t>
  </si>
  <si>
    <t>Errore</t>
  </si>
  <si>
    <t>Rad</t>
  </si>
  <si>
    <t>errore rad</t>
  </si>
  <si>
    <t>p</t>
  </si>
  <si>
    <t>p*d</t>
  </si>
  <si>
    <t>sum</t>
  </si>
  <si>
    <t>err</t>
  </si>
  <si>
    <t>err rel</t>
  </si>
  <si>
    <t>Compatibilità</t>
  </si>
  <si>
    <t>err media</t>
  </si>
  <si>
    <t>Diff</t>
  </si>
  <si>
    <t>z</t>
  </si>
  <si>
    <t>t</t>
  </si>
  <si>
    <t>beta</t>
  </si>
  <si>
    <t>error beta</t>
  </si>
  <si>
    <t>beta rad</t>
  </si>
  <si>
    <t>final d</t>
  </si>
  <si>
    <t>errore rel</t>
  </si>
  <si>
    <t>Errore relativo</t>
  </si>
  <si>
    <t>lamda (m)</t>
  </si>
  <si>
    <t>lamda (nano)</t>
  </si>
  <si>
    <t>Fenditure</t>
  </si>
  <si>
    <t>R1</t>
  </si>
  <si>
    <t>R2</t>
  </si>
  <si>
    <t>R3</t>
  </si>
  <si>
    <t>R4</t>
  </si>
  <si>
    <t>Lambda 1</t>
  </si>
  <si>
    <t>Lambda 2</t>
  </si>
  <si>
    <t>Gradi</t>
  </si>
  <si>
    <t>Primi</t>
  </si>
  <si>
    <t>Ordine</t>
  </si>
  <si>
    <t>Gradi (°)</t>
  </si>
  <si>
    <t>Primi (')</t>
  </si>
  <si>
    <t>Radianti (rad)</t>
  </si>
  <si>
    <t>Differenza (rad)</t>
  </si>
  <si>
    <t>Passo (m)</t>
  </si>
  <si>
    <t>Colonna1</t>
  </si>
  <si>
    <t>Sigma (m)</t>
  </si>
  <si>
    <t>Giallo esterno</t>
  </si>
  <si>
    <t>Giallo interno</t>
  </si>
  <si>
    <t>Verde giallo</t>
  </si>
  <si>
    <t>Verde esterno</t>
  </si>
  <si>
    <t>Verde interno</t>
  </si>
  <si>
    <t>Blu</t>
  </si>
  <si>
    <t>Viola esterno</t>
  </si>
  <si>
    <t>Viola interno</t>
  </si>
  <si>
    <t>m</t>
  </si>
  <si>
    <t>theta (rad)</t>
  </si>
  <si>
    <t>lambda (nm)</t>
  </si>
  <si>
    <t>Intensità</t>
  </si>
  <si>
    <t>Colore</t>
  </si>
  <si>
    <t>Somma</t>
  </si>
  <si>
    <t>Media</t>
  </si>
  <si>
    <t>Totale parziale</t>
  </si>
  <si>
    <t>Conteggio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</si>
</sst>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0E+00"/>
    <numFmt numFmtId="165" formatCode="0.000"/>
    <numFmt numFmtId="167" formatCode="0.0E+00"/>
    <numFmt numFmtId="173" formatCode="0.0000"/>
    <numFmt numFmtId="174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65" fontId="0" fillId="0" borderId="0" xfId="0" applyNumberFormat="1" applyFont="1" applyAlignment="1">
      <alignment vertical="center"/>
    </xf>
    <xf numFmtId="165" fontId="0" fillId="4" borderId="0" xfId="0" applyNumberFormat="1" applyFont="1" applyFill="1" applyAlignment="1">
      <alignment vertical="center"/>
    </xf>
    <xf numFmtId="0" fontId="0" fillId="4" borderId="2" xfId="0" applyFont="1" applyFill="1" applyBorder="1" applyAlignment="1">
      <alignment vertical="center"/>
    </xf>
    <xf numFmtId="165" fontId="0" fillId="4" borderId="2" xfId="0" applyNumberFormat="1" applyFont="1" applyFill="1" applyBorder="1" applyAlignment="1">
      <alignment vertical="center"/>
    </xf>
    <xf numFmtId="167" fontId="0" fillId="0" borderId="0" xfId="0" applyNumberFormat="1" applyAlignment="1">
      <alignment vertical="center"/>
    </xf>
    <xf numFmtId="167" fontId="0" fillId="0" borderId="0" xfId="0" applyNumberFormat="1" applyFont="1" applyAlignment="1">
      <alignment vertical="center"/>
    </xf>
    <xf numFmtId="167" fontId="0" fillId="4" borderId="0" xfId="0" applyNumberFormat="1" applyFont="1" applyFill="1" applyAlignment="1">
      <alignment vertical="center"/>
    </xf>
    <xf numFmtId="167" fontId="0" fillId="4" borderId="2" xfId="0" applyNumberFormat="1" applyFont="1" applyFill="1" applyBorder="1" applyAlignment="1">
      <alignment vertical="center"/>
    </xf>
    <xf numFmtId="174" fontId="0" fillId="0" borderId="0" xfId="0" applyNumberFormat="1" applyAlignment="1">
      <alignment vertical="center"/>
    </xf>
    <xf numFmtId="174" fontId="0" fillId="0" borderId="0" xfId="0" applyNumberFormat="1" applyFont="1" applyAlignment="1">
      <alignment vertical="center"/>
    </xf>
    <xf numFmtId="174" fontId="0" fillId="4" borderId="0" xfId="0" applyNumberFormat="1" applyFont="1" applyFill="1" applyAlignment="1">
      <alignment vertical="center"/>
    </xf>
    <xf numFmtId="174" fontId="0" fillId="4" borderId="2" xfId="0" applyNumberFormat="1" applyFont="1" applyFill="1" applyBorder="1" applyAlignment="1">
      <alignment vertical="center"/>
    </xf>
    <xf numFmtId="2" fontId="0" fillId="0" borderId="0" xfId="0" applyNumberFormat="1"/>
    <xf numFmtId="173" fontId="0" fillId="0" borderId="0" xfId="0" applyNumberFormat="1"/>
    <xf numFmtId="11" fontId="0" fillId="0" borderId="0" xfId="0" applyNumberFormat="1"/>
    <xf numFmtId="174" fontId="0" fillId="0" borderId="0" xfId="0" applyNumberFormat="1"/>
    <xf numFmtId="0" fontId="2" fillId="3" borderId="3" xfId="2" applyBorder="1" applyAlignment="1">
      <alignment horizontal="center" vertical="center"/>
    </xf>
    <xf numFmtId="0" fontId="1" fillId="2" borderId="0" xfId="1" applyFont="1" applyAlignment="1">
      <alignment horizontal="left" vertical="center"/>
    </xf>
    <xf numFmtId="165" fontId="1" fillId="2" borderId="0" xfId="1" applyNumberFormat="1" applyFont="1" applyAlignment="1">
      <alignment horizontal="left" vertical="center"/>
    </xf>
    <xf numFmtId="174" fontId="1" fillId="2" borderId="0" xfId="1" applyNumberFormat="1" applyFont="1" applyAlignment="1">
      <alignment horizontal="left" vertical="center"/>
    </xf>
    <xf numFmtId="2" fontId="1" fillId="2" borderId="0" xfId="1" applyNumberFormat="1" applyFont="1" applyAlignment="1">
      <alignment horizontal="left" vertical="center"/>
    </xf>
    <xf numFmtId="0" fontId="0" fillId="0" borderId="4" xfId="0" applyBorder="1"/>
    <xf numFmtId="165" fontId="0" fillId="0" borderId="4" xfId="0" applyNumberFormat="1" applyBorder="1"/>
    <xf numFmtId="174" fontId="0" fillId="0" borderId="4" xfId="0" applyNumberFormat="1" applyBorder="1"/>
    <xf numFmtId="2" fontId="0" fillId="0" borderId="4" xfId="0" applyNumberFormat="1" applyBorder="1"/>
    <xf numFmtId="0" fontId="0" fillId="0" borderId="0" xfId="0" applyFill="1"/>
  </cellXfs>
  <cellStyles count="3">
    <cellStyle name="60% - Colore 5" xfId="2" builtinId="48"/>
    <cellStyle name="Colore 5" xfId="1" builtinId="45"/>
    <cellStyle name="Normale" xfId="0" builtinId="0"/>
  </cellStyles>
  <dxfs count="19">
    <dxf>
      <numFmt numFmtId="173" formatCode="0.0000"/>
    </dxf>
    <dxf>
      <numFmt numFmtId="15" formatCode="0.00E+00"/>
    </dxf>
    <dxf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6" formatCode="0.000E+00"/>
      <alignment horizontal="general" vertical="center" textRotation="0" wrapText="0" indent="0" justifyLastLine="0" shrinkToFit="0" readingOrder="0"/>
    </dxf>
    <dxf>
      <numFmt numFmtId="166" formatCode="0.000E+00"/>
      <alignment horizontal="general" vertical="center" textRotation="0" wrapText="0" indent="0" justifyLastLine="0" shrinkToFit="0" readingOrder="0"/>
    </dxf>
    <dxf>
      <numFmt numFmtId="165" formatCode="0.000"/>
      <alignment horizontal="general" vertical="center" textRotation="0" wrapText="0" indent="0" justifyLastLine="0" shrinkToFit="0" readingOrder="0"/>
    </dxf>
    <dxf>
      <numFmt numFmtId="165" formatCode="0.0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a1" displayName="Tabella1" ref="A2:G17" totalsRowShown="0" headerRowDxfId="11" dataDxfId="10">
  <autoFilter ref="A2:G17"/>
  <tableColumns count="7">
    <tableColumn id="1" name="Gradi (°)" dataDxfId="18"/>
    <tableColumn id="2" name="Primi (')" dataDxfId="17"/>
    <tableColumn id="3" name="Ordine" dataDxfId="16"/>
    <tableColumn id="4" name="Radianti (rad)" dataDxfId="15">
      <calculatedColumnFormula>$B$21*(A3+B3/60)</calculatedColumnFormula>
    </tableColumn>
    <tableColumn id="5" name="Differenza (rad)" dataDxfId="14">
      <calculatedColumnFormula>ABS(D3-$D$3)</calculatedColumnFormula>
    </tableColumn>
    <tableColumn id="6" name="Passo (m)" dataDxfId="13">
      <calculatedColumnFormula>ABS(C3*0.000000589/SIN(E3))</calculatedColumnFormula>
    </tableColumn>
    <tableColumn id="7" name="Sigma (m)" dataDxfId="12">
      <calculatedColumnFormula>F3*(COS(E3)/SIN(E3))*$B$23</calculatedColumnFormula>
    </tableColumn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ella2" displayName="Tabella2" ref="F20:I22" totalsRowShown="0">
  <autoFilter ref="F20:I22"/>
  <tableColumns count="4">
    <tableColumn id="1" name="d"/>
    <tableColumn id="2" name="err"/>
    <tableColumn id="3" name="err media">
      <calculatedColumnFormula>G21/SQRT(COUNT(K4:K17))</calculatedColumnFormula>
    </tableColumn>
    <tableColumn id="4" name="err rel">
      <calculatedColumnFormula>G21/F21</calculatedColumnFormula>
    </tableColumn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13" name="Tabella13" displayName="Tabella13" ref="L6:R15" dataCellStyle="Normale">
  <autoFilter ref="L6:R15"/>
  <tableColumns count="7">
    <tableColumn id="7" name="Colore" totalsRowLabel="Totale" totalsRowDxfId="3" dataCellStyle="Normale"/>
    <tableColumn id="1" name="lamda (m)" totalsRowDxfId="4" dataCellStyle="Normale"/>
    <tableColumn id="2" name="lamda (nano)" dataDxfId="2" totalsRowDxfId="5" dataCellStyle="Normale"/>
    <tableColumn id="3" name="errore" dataDxfId="1" totalsRowDxfId="6" dataCellStyle="Normale"/>
    <tableColumn id="4" name="lambda (nm)" totalsRowDxfId="7" dataCellStyle="Normale"/>
    <tableColumn id="5" name="Intensità" totalsRowDxfId="8" dataCellStyle="Normale"/>
    <tableColumn id="6" name="z" totalsRowFunction="sum" dataDxfId="0" totalsRowDxfId="9" dataCellStyle="Normale">
      <calculatedColumnFormula>ABS(P7/1000000000-M7)/O7</calculatedColumnFormula>
    </tableColumn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zoomScale="158" workbookViewId="0">
      <selection activeCell="A11" sqref="A11"/>
    </sheetView>
  </sheetViews>
  <sheetFormatPr defaultRowHeight="14.4" x14ac:dyDescent="0.3"/>
  <cols>
    <col min="3" max="3" width="10.6640625" customWidth="1"/>
    <col min="29" max="30" width="10.44140625" bestFit="1" customWidth="1"/>
  </cols>
  <sheetData>
    <row r="1" spans="1:32" x14ac:dyDescent="0.3">
      <c r="A1" t="s">
        <v>0</v>
      </c>
    </row>
    <row r="3" spans="1:32" x14ac:dyDescent="0.3">
      <c r="A3" t="s">
        <v>1</v>
      </c>
      <c r="G3" t="s">
        <v>6</v>
      </c>
      <c r="M3" t="s">
        <v>7</v>
      </c>
    </row>
    <row r="4" spans="1:32" x14ac:dyDescent="0.3">
      <c r="A4" t="s">
        <v>2</v>
      </c>
      <c r="B4" t="s">
        <v>3</v>
      </c>
      <c r="C4" t="s">
        <v>4</v>
      </c>
      <c r="D4" t="s">
        <v>5</v>
      </c>
      <c r="E4" t="s">
        <v>10</v>
      </c>
      <c r="G4" t="s">
        <v>2</v>
      </c>
      <c r="H4" t="s">
        <v>3</v>
      </c>
      <c r="I4" t="s">
        <v>4</v>
      </c>
      <c r="J4" t="s">
        <v>5</v>
      </c>
      <c r="K4" t="s">
        <v>10</v>
      </c>
      <c r="M4" t="s">
        <v>2</v>
      </c>
      <c r="N4" t="s">
        <v>3</v>
      </c>
      <c r="O4" t="s">
        <v>4</v>
      </c>
      <c r="P4" t="s">
        <v>5</v>
      </c>
      <c r="Q4" t="s">
        <v>10</v>
      </c>
      <c r="S4" t="s">
        <v>8</v>
      </c>
      <c r="T4" t="s">
        <v>9</v>
      </c>
      <c r="U4" t="s">
        <v>11</v>
      </c>
      <c r="V4" t="s">
        <v>12</v>
      </c>
      <c r="W4" t="s">
        <v>13</v>
      </c>
      <c r="Y4" t="s">
        <v>14</v>
      </c>
      <c r="Z4" t="s">
        <v>12</v>
      </c>
      <c r="AA4" t="s">
        <v>13</v>
      </c>
      <c r="AC4" t="s">
        <v>16</v>
      </c>
      <c r="AD4" t="s">
        <v>15</v>
      </c>
      <c r="AE4" t="s">
        <v>17</v>
      </c>
      <c r="AF4" t="s">
        <v>18</v>
      </c>
    </row>
    <row r="5" spans="1:32" x14ac:dyDescent="0.3">
      <c r="A5">
        <v>130</v>
      </c>
      <c r="B5">
        <f>40+1</f>
        <v>41</v>
      </c>
      <c r="C5">
        <v>0</v>
      </c>
      <c r="D5">
        <v>1</v>
      </c>
      <c r="E5">
        <f>0.0175*(A5+B5/60)</f>
        <v>2.2869583333333336</v>
      </c>
      <c r="G5">
        <v>86</v>
      </c>
      <c r="H5">
        <f>20+13</f>
        <v>33</v>
      </c>
      <c r="I5">
        <v>4</v>
      </c>
      <c r="J5">
        <v>1</v>
      </c>
      <c r="K5">
        <f>0.0175*(G5+H5/60)</f>
        <v>1.5146250000000001</v>
      </c>
      <c r="M5">
        <v>175</v>
      </c>
      <c r="N5">
        <v>9</v>
      </c>
      <c r="O5">
        <v>4</v>
      </c>
      <c r="P5">
        <v>1</v>
      </c>
      <c r="Q5">
        <f>0.0175*(M5+N5/60)</f>
        <v>3.0651250000000005</v>
      </c>
      <c r="S5">
        <f>E5-K5</f>
        <v>0.77233333333333354</v>
      </c>
      <c r="T5">
        <f>Q5-E5</f>
        <v>0.7781666666666669</v>
      </c>
      <c r="U5">
        <f>(T5-S5)/2*COS(AVERAGE(S5:T5))/(1-COS(AVERAGE(S5:T5)))</f>
        <v>7.2902508599964532E-3</v>
      </c>
      <c r="V5">
        <f>U5/0.0175</f>
        <v>0.41658576342836873</v>
      </c>
      <c r="W5">
        <f>V5*60</f>
        <v>24.995145805702123</v>
      </c>
      <c r="Y5">
        <f>ATAN(SIN((T5-S5)/2)*(COS(AVERAGE(S5:T5))/(1-COS(AVERAGE(S5:T5))*COS((T5-S5)/2))))</f>
        <v>7.2900338728415382E-3</v>
      </c>
      <c r="Z5">
        <f>Y5/0.0175</f>
        <v>0.41657336416237356</v>
      </c>
      <c r="AA5">
        <f>Z5*60</f>
        <v>24.994401849742413</v>
      </c>
      <c r="AC5">
        <f t="shared" ref="AC5:AD7" si="0">S5/0.0175</f>
        <v>44.13333333333334</v>
      </c>
      <c r="AD5">
        <f t="shared" si="0"/>
        <v>44.466666666666676</v>
      </c>
      <c r="AE5">
        <f>AC5-AD5</f>
        <v>-0.3333333333333357</v>
      </c>
      <c r="AF5">
        <f>AE5*60</f>
        <v>-20.000000000000142</v>
      </c>
    </row>
    <row r="6" spans="1:32" x14ac:dyDescent="0.3">
      <c r="A6">
        <v>130</v>
      </c>
      <c r="B6">
        <v>40.5</v>
      </c>
      <c r="C6">
        <v>0</v>
      </c>
      <c r="D6">
        <v>1</v>
      </c>
      <c r="E6">
        <f>0.0175*(A6+B6/60)</f>
        <v>2.2868125000000004</v>
      </c>
      <c r="G6">
        <v>86</v>
      </c>
      <c r="H6">
        <v>30</v>
      </c>
      <c r="I6">
        <v>4</v>
      </c>
      <c r="J6">
        <v>1</v>
      </c>
      <c r="K6">
        <f>0.0175*(G6+H6/60)</f>
        <v>1.5137500000000002</v>
      </c>
      <c r="M6">
        <v>175</v>
      </c>
      <c r="N6">
        <v>4.5</v>
      </c>
      <c r="O6">
        <v>4</v>
      </c>
      <c r="P6">
        <v>1</v>
      </c>
      <c r="Q6">
        <f>0.0175*(M6+N6/60)</f>
        <v>3.0638125</v>
      </c>
      <c r="S6">
        <f>E6-K6</f>
        <v>0.77306250000000021</v>
      </c>
      <c r="T6">
        <f>Q6-E6</f>
        <v>0.77699999999999969</v>
      </c>
      <c r="U6">
        <f>(T6-S6)/2*COS(AVERAGE(S6:T6))/(1-COS(AVERAGE(S6:T6)))</f>
        <v>4.9246122612934982E-3</v>
      </c>
      <c r="V6">
        <f>U6/0.0175</f>
        <v>0.281406414931057</v>
      </c>
      <c r="W6">
        <f>V6*60</f>
        <v>16.88438489586342</v>
      </c>
      <c r="Y6">
        <f>ATAN(SIN((T6-S6)/2)*(COS(AVERAGE(S6:T6))/(1-COS(AVERAGE(S6:T6))*COS((T6-S6)/2))))</f>
        <v>4.9245453982696592E-3</v>
      </c>
      <c r="Z6">
        <f>Y6/0.0175</f>
        <v>0.28140259418683766</v>
      </c>
      <c r="AA6">
        <f>Z6*60</f>
        <v>16.884155651210261</v>
      </c>
      <c r="AC6">
        <f t="shared" si="0"/>
        <v>44.175000000000004</v>
      </c>
      <c r="AD6">
        <f t="shared" si="0"/>
        <v>44.399999999999977</v>
      </c>
      <c r="AE6">
        <f>AC6-AD6</f>
        <v>-0.224999999999973</v>
      </c>
      <c r="AF6">
        <f>AE6*60</f>
        <v>-13.49999999999838</v>
      </c>
    </row>
    <row r="7" spans="1:32" x14ac:dyDescent="0.3">
      <c r="A7">
        <v>130</v>
      </c>
      <c r="B7">
        <f>39.5</f>
        <v>39.5</v>
      </c>
      <c r="C7">
        <v>0</v>
      </c>
      <c r="D7">
        <v>1</v>
      </c>
      <c r="E7">
        <f>0.0175*(A7+B7/60)</f>
        <v>2.2865208333333333</v>
      </c>
      <c r="G7">
        <v>86</v>
      </c>
      <c r="H7">
        <v>22</v>
      </c>
      <c r="I7">
        <v>4</v>
      </c>
      <c r="J7">
        <v>1</v>
      </c>
      <c r="K7">
        <f>0.0175*(G7+H7/60)</f>
        <v>1.5114166666666666</v>
      </c>
      <c r="M7">
        <v>174</v>
      </c>
      <c r="N7">
        <v>58</v>
      </c>
      <c r="O7">
        <v>4</v>
      </c>
      <c r="P7">
        <v>1</v>
      </c>
      <c r="Q7">
        <f>0.0175*(M7+N7/60)</f>
        <v>3.0619166666666668</v>
      </c>
      <c r="S7">
        <f>E7-K7</f>
        <v>0.77510416666666671</v>
      </c>
      <c r="T7">
        <f>Q7-E7</f>
        <v>0.77539583333333351</v>
      </c>
      <c r="U7">
        <f>(T7-S7)/2*COS(AVERAGE(S7:T7))/(1-COS(AVERAGE(S7:T7)))</f>
        <v>3.6451254299998942E-4</v>
      </c>
      <c r="V7">
        <f>U7/0.0175</f>
        <v>2.0829288171427963E-2</v>
      </c>
      <c r="W7">
        <f>V7*60</f>
        <v>1.2497572902856777</v>
      </c>
      <c r="Y7">
        <f>ATAN(SIN((T7-S7)/2)*(COS(AVERAGE(S7:T7))/(1-COS(AVERAGE(S7:T7))*COS((T7-S7)/2))))</f>
        <v>3.6451251587537562E-4</v>
      </c>
      <c r="Z7">
        <f>Y7/0.0175</f>
        <v>2.0829286621450033E-2</v>
      </c>
      <c r="AA7">
        <f>Z7*60</f>
        <v>1.2497571972870021</v>
      </c>
      <c r="AC7">
        <f t="shared" si="0"/>
        <v>44.291666666666664</v>
      </c>
      <c r="AD7">
        <f t="shared" si="0"/>
        <v>44.308333333333337</v>
      </c>
      <c r="AE7">
        <f>AC7-AD7</f>
        <v>-1.6666666666672825E-2</v>
      </c>
      <c r="AF7">
        <f>AE7*60</f>
        <v>-1.0000000000003695</v>
      </c>
    </row>
    <row r="9" spans="1:32" x14ac:dyDescent="0.3">
      <c r="A9" t="s">
        <v>19</v>
      </c>
    </row>
    <row r="10" spans="1:32" x14ac:dyDescent="0.3">
      <c r="A10">
        <v>1.2497572902856777</v>
      </c>
      <c r="B10">
        <f>A10/60</f>
        <v>2.0829288171427963E-2</v>
      </c>
      <c r="C10">
        <f>B10*PI()/180</f>
        <v>3.6353965943812701E-4</v>
      </c>
    </row>
    <row r="11" spans="1:32" x14ac:dyDescent="0.3">
      <c r="A11">
        <v>2.4995138365822012</v>
      </c>
      <c r="B11">
        <f>A11/60</f>
        <v>4.1658563943036686E-2</v>
      </c>
      <c r="C11">
        <f>B11*PI()/180</f>
        <v>7.2707910245858171E-4</v>
      </c>
    </row>
    <row r="12" spans="1:32" x14ac:dyDescent="0.3">
      <c r="A12" t="s">
        <v>20</v>
      </c>
    </row>
    <row r="13" spans="1:32" x14ac:dyDescent="0.3">
      <c r="A13" t="s">
        <v>21</v>
      </c>
      <c r="B13" t="s">
        <v>3</v>
      </c>
      <c r="C13" t="s">
        <v>5</v>
      </c>
    </row>
    <row r="14" spans="1:32" x14ac:dyDescent="0.3">
      <c r="A14">
        <v>40</v>
      </c>
      <c r="B14">
        <v>14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zoomScale="123" workbookViewId="0">
      <selection activeCell="D4" sqref="D4"/>
    </sheetView>
  </sheetViews>
  <sheetFormatPr defaultRowHeight="14.4" x14ac:dyDescent="0.3"/>
  <cols>
    <col min="1" max="1" width="10.109375" customWidth="1"/>
    <col min="2" max="2" width="12.77734375" bestFit="1" customWidth="1"/>
    <col min="4" max="4" width="14.6640625" bestFit="1" customWidth="1"/>
    <col min="5" max="5" width="16.44140625" bestFit="1" customWidth="1"/>
    <col min="6" max="6" width="12.5546875" bestFit="1" customWidth="1"/>
    <col min="7" max="7" width="12.77734375" bestFit="1" customWidth="1"/>
    <col min="8" max="8" width="12.5546875" bestFit="1" customWidth="1"/>
    <col min="9" max="9" width="11.6640625" bestFit="1" customWidth="1"/>
    <col min="10" max="12" width="12.5546875" bestFit="1" customWidth="1"/>
    <col min="13" max="13" width="11.33203125" customWidth="1"/>
    <col min="14" max="15" width="11.6640625" bestFit="1" customWidth="1"/>
    <col min="16" max="16" width="11.77734375" bestFit="1" customWidth="1"/>
    <col min="17" max="17" width="10.5546875" bestFit="1" customWidth="1"/>
  </cols>
  <sheetData>
    <row r="1" spans="1:11" x14ac:dyDescent="0.3">
      <c r="A1" s="3" t="s">
        <v>22</v>
      </c>
      <c r="B1" s="3"/>
      <c r="C1" s="3"/>
      <c r="D1" s="3"/>
      <c r="E1" s="3" t="s">
        <v>29</v>
      </c>
      <c r="F1" s="3"/>
      <c r="G1" s="3"/>
    </row>
    <row r="2" spans="1:11" x14ac:dyDescent="0.3">
      <c r="A2" s="4" t="s">
        <v>61</v>
      </c>
      <c r="B2" s="4" t="s">
        <v>62</v>
      </c>
      <c r="C2" s="4" t="s">
        <v>60</v>
      </c>
      <c r="D2" s="4" t="s">
        <v>63</v>
      </c>
      <c r="E2" s="4" t="s">
        <v>64</v>
      </c>
      <c r="F2" s="4" t="s">
        <v>65</v>
      </c>
      <c r="G2" s="4" t="s">
        <v>67</v>
      </c>
      <c r="H2" t="s">
        <v>44</v>
      </c>
      <c r="J2" t="s">
        <v>33</v>
      </c>
      <c r="K2" t="s">
        <v>34</v>
      </c>
    </row>
    <row r="3" spans="1:11" x14ac:dyDescent="0.3">
      <c r="A3" s="4">
        <v>130</v>
      </c>
      <c r="B3" s="4">
        <f>39.5</f>
        <v>39.5</v>
      </c>
      <c r="C3" s="4">
        <v>0</v>
      </c>
      <c r="D3" s="5">
        <f t="shared" ref="D3:D17" si="0">$B$21*(A3+B3/60)</f>
        <v>2.2804181118349245</v>
      </c>
      <c r="E3" s="4">
        <f>ABS(D3-$D$3)</f>
        <v>0</v>
      </c>
      <c r="F3" s="4"/>
      <c r="G3" s="4"/>
      <c r="H3">
        <f>$B$25*ABS((1-COS(E3))/COS(E3))</f>
        <v>0</v>
      </c>
      <c r="I3">
        <f>SQRT(SUMSQ(G3:H3))</f>
        <v>0</v>
      </c>
      <c r="J3" t="e">
        <f>1/I3^2</f>
        <v>#DIV/0!</v>
      </c>
      <c r="K3" t="e">
        <f t="shared" ref="K3:K17" si="1">J3*F3</f>
        <v>#DIV/0!</v>
      </c>
    </row>
    <row r="4" spans="1:11" x14ac:dyDescent="0.3">
      <c r="A4" s="4">
        <v>120</v>
      </c>
      <c r="B4" s="4">
        <v>37.5</v>
      </c>
      <c r="C4" s="4">
        <v>1</v>
      </c>
      <c r="D4" s="5">
        <f t="shared" si="0"/>
        <v>2.10530341021816</v>
      </c>
      <c r="E4" s="5">
        <f t="shared" ref="E4:E17" si="2">ABS(D4-$D$3)</f>
        <v>0.17511470161676446</v>
      </c>
      <c r="F4" s="17">
        <f t="shared" ref="F4:F16" si="3">ABS(C4*0.000000589/SIN(E4))</f>
        <v>3.3807618407991213E-6</v>
      </c>
      <c r="G4" s="13">
        <f>F4*(COS(E4)/SIN(E4))*$B$23</f>
        <v>1.5721421208897437E-8</v>
      </c>
      <c r="H4">
        <f>$B$25*ABS((1-COS(E4))/COS(E4))</f>
        <v>0</v>
      </c>
      <c r="I4">
        <f t="shared" ref="I4:I17" si="4">SQRT(SUMSQ(G4:H4))</f>
        <v>1.5721421208897437E-8</v>
      </c>
      <c r="J4">
        <f t="shared" ref="J4:J17" si="5">1/I4^2</f>
        <v>4045911632384892.5</v>
      </c>
      <c r="K4">
        <f t="shared" si="1"/>
        <v>13678263658.012127</v>
      </c>
    </row>
    <row r="5" spans="1:11" x14ac:dyDescent="0.3">
      <c r="A5" s="4">
        <v>110</v>
      </c>
      <c r="B5" s="4">
        <v>13</v>
      </c>
      <c r="C5" s="4">
        <v>2</v>
      </c>
      <c r="D5" s="5">
        <f t="shared" si="0"/>
        <v>1.923643723906417</v>
      </c>
      <c r="E5" s="5">
        <f t="shared" si="2"/>
        <v>0.35677438792850746</v>
      </c>
      <c r="F5" s="17">
        <f t="shared" si="3"/>
        <v>3.3729075817514629E-6</v>
      </c>
      <c r="G5" s="13">
        <f t="shared" ref="G4:G17" si="6">F5*(COS(E5)/SIN(E5))*$B$23</f>
        <v>7.4453889302449969E-9</v>
      </c>
      <c r="H5">
        <f t="shared" ref="H4:H17" si="7">$B$25*ABS((1-COS(E5))/COS(E5))</f>
        <v>0</v>
      </c>
      <c r="I5">
        <f t="shared" si="4"/>
        <v>7.4453889302449969E-9</v>
      </c>
      <c r="J5">
        <f t="shared" si="5"/>
        <v>1.8039530134100488E+16</v>
      </c>
      <c r="K5">
        <f t="shared" si="1"/>
        <v>60845667960.541519</v>
      </c>
    </row>
    <row r="6" spans="1:11" x14ac:dyDescent="0.3">
      <c r="A6" s="4">
        <v>99</v>
      </c>
      <c r="B6" s="4">
        <v>4</v>
      </c>
      <c r="C6" s="4">
        <v>3</v>
      </c>
      <c r="D6" s="5">
        <f t="shared" si="0"/>
        <v>1.7290395123090492</v>
      </c>
      <c r="E6" s="5">
        <f>ABS(D6-$D$3)</f>
        <v>0.55137859952587531</v>
      </c>
      <c r="F6" s="17">
        <f t="shared" si="3"/>
        <v>3.3730255803599358E-6</v>
      </c>
      <c r="G6" s="13">
        <f t="shared" si="6"/>
        <v>4.5124568844369626E-9</v>
      </c>
      <c r="H6">
        <f t="shared" si="7"/>
        <v>0</v>
      </c>
      <c r="I6">
        <f>SQRT(SUMSQ(G6:H6))</f>
        <v>4.5124568844369626E-9</v>
      </c>
      <c r="J6">
        <f t="shared" si="5"/>
        <v>4.9110444992396312E+16</v>
      </c>
      <c r="K6">
        <f t="shared" si="1"/>
        <v>165650787222.21228</v>
      </c>
    </row>
    <row r="7" spans="1:11" x14ac:dyDescent="0.3">
      <c r="A7" s="4">
        <v>86</v>
      </c>
      <c r="B7" s="4">
        <v>21</v>
      </c>
      <c r="C7" s="4">
        <v>4</v>
      </c>
      <c r="D7" s="5">
        <f t="shared" si="0"/>
        <v>1.5070918090971035</v>
      </c>
      <c r="E7" s="5">
        <f t="shared" si="2"/>
        <v>0.77332630273782099</v>
      </c>
      <c r="F7" s="17">
        <f t="shared" si="3"/>
        <v>3.3728484802173879E-6</v>
      </c>
      <c r="G7" s="13">
        <f t="shared" si="6"/>
        <v>2.842853279090838E-9</v>
      </c>
      <c r="H7">
        <f t="shared" si="7"/>
        <v>0</v>
      </c>
      <c r="I7">
        <f t="shared" si="4"/>
        <v>2.842853279090838E-9</v>
      </c>
      <c r="J7">
        <f t="shared" si="5"/>
        <v>1.2373458547365355E+17</v>
      </c>
      <c r="K7">
        <f t="shared" si="1"/>
        <v>417338008565.14087</v>
      </c>
    </row>
    <row r="8" spans="1:11" x14ac:dyDescent="0.3">
      <c r="A8" s="4">
        <v>69</v>
      </c>
      <c r="B8" s="4">
        <v>50</v>
      </c>
      <c r="C8" s="4">
        <v>5</v>
      </c>
      <c r="D8" s="5">
        <f t="shared" si="0"/>
        <v>1.2188215943093734</v>
      </c>
      <c r="E8" s="5">
        <f t="shared" si="2"/>
        <v>1.0615965175255511</v>
      </c>
      <c r="F8" s="17">
        <f t="shared" si="3"/>
        <v>3.3729039172049858E-6</v>
      </c>
      <c r="G8" s="13">
        <f t="shared" si="6"/>
        <v>1.5493495875874141E-9</v>
      </c>
      <c r="H8">
        <f t="shared" si="7"/>
        <v>0</v>
      </c>
      <c r="I8">
        <f t="shared" si="4"/>
        <v>1.5493495875874141E-9</v>
      </c>
      <c r="J8">
        <f t="shared" si="5"/>
        <v>4.1658263074444314E+17</v>
      </c>
      <c r="K8">
        <f t="shared" si="1"/>
        <v>1405093187077.4905</v>
      </c>
    </row>
    <row r="9" spans="1:11" x14ac:dyDescent="0.3">
      <c r="A9" s="4">
        <v>99</v>
      </c>
      <c r="B9" s="4">
        <v>3</v>
      </c>
      <c r="C9" s="4">
        <v>3</v>
      </c>
      <c r="D9" s="5">
        <f t="shared" ref="D9:D11" si="8">$B$21*(A9+B9/60)</f>
        <v>1.7287486241003833</v>
      </c>
      <c r="E9" s="5">
        <f>ABS(D9-$D$3)</f>
        <v>0.55166948773454116</v>
      </c>
      <c r="F9" s="17">
        <f t="shared" ref="F9:F10" si="9">ABS(C9*0.000000589/SIN(E9))</f>
        <v>3.3714310827647474E-6</v>
      </c>
      <c r="G9" s="13">
        <f t="shared" ref="G9:G11" si="10">F9*(COS(E9)/SIN(E9))*$B$23</f>
        <v>4.5073849389980608E-9</v>
      </c>
      <c r="H9">
        <f t="shared" ref="H9:H11" si="11">$B$25*ABS((1-COS(E9))/COS(E9))</f>
        <v>0</v>
      </c>
      <c r="I9">
        <f>SQRT(SUMSQ(G9:H9))</f>
        <v>4.5073849389980608E-9</v>
      </c>
      <c r="J9">
        <f t="shared" ref="J9:J11" si="12">1/I9^2</f>
        <v>4.9221030461742168E+16</v>
      </c>
      <c r="K9">
        <f t="shared" ref="K9:K11" si="13">J9*F9</f>
        <v>165945312024.42801</v>
      </c>
    </row>
    <row r="10" spans="1:11" x14ac:dyDescent="0.3">
      <c r="A10" s="4">
        <v>86</v>
      </c>
      <c r="B10" s="4">
        <v>21.5</v>
      </c>
      <c r="C10" s="4">
        <v>4</v>
      </c>
      <c r="D10" s="5">
        <f t="shared" si="8"/>
        <v>1.5072372532014364</v>
      </c>
      <c r="E10" s="5">
        <f t="shared" ref="E10:E11" si="14">ABS(D10-$D$3)</f>
        <v>0.77318085863348807</v>
      </c>
      <c r="F10" s="17">
        <f t="shared" si="9"/>
        <v>3.373351140999249E-6</v>
      </c>
      <c r="G10" s="13">
        <f t="shared" si="10"/>
        <v>2.8441043940260312E-9</v>
      </c>
      <c r="H10">
        <f t="shared" si="11"/>
        <v>0</v>
      </c>
      <c r="I10">
        <f t="shared" ref="I10:I11" si="15">SQRT(SUMSQ(G10:H10))</f>
        <v>2.8441043940260312E-9</v>
      </c>
      <c r="J10">
        <f t="shared" si="12"/>
        <v>1.2362574830243763E+17</v>
      </c>
      <c r="K10">
        <f t="shared" si="13"/>
        <v>417033059092.91394</v>
      </c>
    </row>
    <row r="11" spans="1:11" x14ac:dyDescent="0.3">
      <c r="A11" s="4">
        <v>69</v>
      </c>
      <c r="B11" s="4">
        <v>50.5</v>
      </c>
      <c r="C11" s="4">
        <v>5</v>
      </c>
      <c r="D11" s="5">
        <f t="shared" si="8"/>
        <v>1.2189670384137063</v>
      </c>
      <c r="E11" s="5">
        <f t="shared" si="14"/>
        <v>1.0614510734212181</v>
      </c>
      <c r="F11" s="17">
        <f>ABS(C11*0.000000589/SIN(E11))</f>
        <v>3.3731778640272752E-6</v>
      </c>
      <c r="G11" s="13">
        <f t="shared" si="10"/>
        <v>1.5500049415593942E-9</v>
      </c>
      <c r="H11">
        <f t="shared" si="11"/>
        <v>0</v>
      </c>
      <c r="I11">
        <f t="shared" si="15"/>
        <v>1.5500049415593942E-9</v>
      </c>
      <c r="J11">
        <f t="shared" si="12"/>
        <v>4.1623043655559706E+17</v>
      </c>
      <c r="K11">
        <f t="shared" si="13"/>
        <v>1404019294923.7493</v>
      </c>
    </row>
    <row r="12" spans="1:11" x14ac:dyDescent="0.3">
      <c r="A12" s="4">
        <v>162</v>
      </c>
      <c r="B12" s="4">
        <v>14</v>
      </c>
      <c r="C12" s="4">
        <v>-3</v>
      </c>
      <c r="D12" s="5">
        <f t="shared" si="0"/>
        <v>2.8315058231521339</v>
      </c>
      <c r="E12" s="5">
        <f t="shared" si="2"/>
        <v>0.55108771131720946</v>
      </c>
      <c r="F12" s="17">
        <f t="shared" si="3"/>
        <v>3.3746218725663698E-6</v>
      </c>
      <c r="G12" s="13">
        <f t="shared" si="6"/>
        <v>4.5175367960591311E-9</v>
      </c>
      <c r="H12">
        <f>$B$25*ABS((1-COS(E12))/COS(E12))</f>
        <v>0</v>
      </c>
      <c r="I12">
        <f t="shared" si="4"/>
        <v>4.5175367960591311E-9</v>
      </c>
      <c r="J12">
        <f t="shared" si="5"/>
        <v>4.9000058972371552E+16</v>
      </c>
      <c r="K12">
        <f t="shared" si="1"/>
        <v>165356670765.20703</v>
      </c>
    </row>
    <row r="13" spans="1:11" x14ac:dyDescent="0.3">
      <c r="A13" s="4">
        <v>174</v>
      </c>
      <c r="B13" s="4">
        <v>57</v>
      </c>
      <c r="C13" s="4">
        <v>-4</v>
      </c>
      <c r="D13" s="5">
        <f t="shared" si="0"/>
        <v>3.0534535263640792</v>
      </c>
      <c r="E13" s="5">
        <f t="shared" si="2"/>
        <v>0.7730354145291547</v>
      </c>
      <c r="F13" s="17">
        <f t="shared" si="3"/>
        <v>3.3738540230091617E-6</v>
      </c>
      <c r="G13" s="13">
        <f t="shared" si="6"/>
        <v>2.8453561888479586E-9</v>
      </c>
      <c r="H13">
        <f t="shared" si="7"/>
        <v>0</v>
      </c>
      <c r="I13">
        <f t="shared" si="4"/>
        <v>2.8453561888479586E-9</v>
      </c>
      <c r="J13">
        <f t="shared" si="5"/>
        <v>1.2351699564033134E+17</v>
      </c>
      <c r="K13">
        <f t="shared" si="1"/>
        <v>416728312651.13696</v>
      </c>
    </row>
    <row r="14" spans="1:11" x14ac:dyDescent="0.3">
      <c r="A14" s="4">
        <v>191</v>
      </c>
      <c r="B14" s="4">
        <v>25.5</v>
      </c>
      <c r="C14" s="4">
        <v>-5</v>
      </c>
      <c r="D14" s="5">
        <f t="shared" si="0"/>
        <v>3.3409965206301457</v>
      </c>
      <c r="E14" s="5">
        <f t="shared" si="2"/>
        <v>1.0605784087952213</v>
      </c>
      <c r="F14" s="17">
        <f t="shared" si="3"/>
        <v>3.3748239796519792E-6</v>
      </c>
      <c r="G14" s="13">
        <f t="shared" si="6"/>
        <v>1.5539418016897516E-9</v>
      </c>
      <c r="H14">
        <f t="shared" si="7"/>
        <v>0</v>
      </c>
      <c r="I14">
        <f t="shared" si="4"/>
        <v>1.5539418016897516E-9</v>
      </c>
      <c r="J14">
        <f t="shared" si="5"/>
        <v>4.1412409603814573E+17</v>
      </c>
      <c r="K14">
        <f t="shared" si="1"/>
        <v>1397595929861.2334</v>
      </c>
    </row>
    <row r="15" spans="1:11" x14ac:dyDescent="0.3">
      <c r="A15" s="4">
        <v>162</v>
      </c>
      <c r="B15" s="4">
        <v>13</v>
      </c>
      <c r="C15" s="4">
        <v>-3</v>
      </c>
      <c r="D15" s="5">
        <f t="shared" si="0"/>
        <v>2.8312149349434681</v>
      </c>
      <c r="E15" s="5">
        <f t="shared" si="2"/>
        <v>0.55079682310854361</v>
      </c>
      <c r="F15" s="17">
        <f t="shared" si="3"/>
        <v>3.3762199622035036E-6</v>
      </c>
      <c r="G15" s="13">
        <f t="shared" si="6"/>
        <v>4.522624690744723E-9</v>
      </c>
      <c r="H15">
        <f t="shared" si="7"/>
        <v>0</v>
      </c>
      <c r="I15">
        <f t="shared" si="4"/>
        <v>4.522624690744723E-9</v>
      </c>
      <c r="J15">
        <f>1/I15^2</f>
        <v>4.888987211274368E+16</v>
      </c>
      <c r="K15">
        <f t="shared" si="1"/>
        <v>165062962176.62158</v>
      </c>
    </row>
    <row r="16" spans="1:11" x14ac:dyDescent="0.3">
      <c r="A16" s="4">
        <v>174</v>
      </c>
      <c r="B16" s="4">
        <v>55</v>
      </c>
      <c r="C16" s="4">
        <v>-4</v>
      </c>
      <c r="D16" s="5">
        <f t="shared" si="0"/>
        <v>3.0528717499467479</v>
      </c>
      <c r="E16" s="5">
        <f t="shared" si="2"/>
        <v>0.77245363811182344</v>
      </c>
      <c r="F16" s="17">
        <f t="shared" si="3"/>
        <v>3.3758677657353678E-6</v>
      </c>
      <c r="G16" s="13">
        <f t="shared" si="6"/>
        <v>2.8503701774103257E-9</v>
      </c>
      <c r="H16">
        <f t="shared" si="7"/>
        <v>0</v>
      </c>
      <c r="I16">
        <f t="shared" si="4"/>
        <v>2.8503701774103257E-9</v>
      </c>
      <c r="J16">
        <f t="shared" si="5"/>
        <v>1.2308282880661198E+17</v>
      </c>
      <c r="K16">
        <f t="shared" si="1"/>
        <v>415511354283.76593</v>
      </c>
    </row>
    <row r="17" spans="1:17" x14ac:dyDescent="0.3">
      <c r="A17" s="4">
        <v>191</v>
      </c>
      <c r="B17" s="4">
        <v>24</v>
      </c>
      <c r="C17" s="4">
        <v>-5</v>
      </c>
      <c r="D17" s="5">
        <f t="shared" si="0"/>
        <v>3.3405601883171467</v>
      </c>
      <c r="E17" s="5">
        <f t="shared" si="2"/>
        <v>1.0601420764822223</v>
      </c>
      <c r="F17" s="17">
        <f>ABS(C17*0.000000589/SIN(E17))</f>
        <v>3.3756486044189603E-6</v>
      </c>
      <c r="G17" s="13">
        <f t="shared" si="6"/>
        <v>1.5559132827067736E-9</v>
      </c>
      <c r="H17">
        <f t="shared" si="7"/>
        <v>0</v>
      </c>
      <c r="I17">
        <f t="shared" si="4"/>
        <v>1.5559132827067736E-9</v>
      </c>
      <c r="J17">
        <f t="shared" si="5"/>
        <v>4.1307529652815091E+17</v>
      </c>
      <c r="K17">
        <f t="shared" si="1"/>
        <v>1394397048245.2009</v>
      </c>
    </row>
    <row r="18" spans="1:17" x14ac:dyDescent="0.3">
      <c r="G18" t="s">
        <v>35</v>
      </c>
      <c r="J18">
        <f>SUM(J4:J17)</f>
        <v>2.3722794663951104E+18</v>
      </c>
      <c r="K18">
        <f>SUM(K4:K17)</f>
        <v>8004255858507.6543</v>
      </c>
    </row>
    <row r="19" spans="1:17" x14ac:dyDescent="0.3">
      <c r="A19" t="s">
        <v>27</v>
      </c>
    </row>
    <row r="20" spans="1:17" x14ac:dyDescent="0.3">
      <c r="F20" t="s">
        <v>23</v>
      </c>
      <c r="G20" t="s">
        <v>36</v>
      </c>
      <c r="H20" t="s">
        <v>39</v>
      </c>
      <c r="I20" t="s">
        <v>37</v>
      </c>
      <c r="J20" t="s">
        <v>33</v>
      </c>
      <c r="K20" t="s">
        <v>46</v>
      </c>
      <c r="L20" t="s">
        <v>5</v>
      </c>
      <c r="M20" t="s">
        <v>47</v>
      </c>
    </row>
    <row r="21" spans="1:17" x14ac:dyDescent="0.3">
      <c r="A21" t="s">
        <v>28</v>
      </c>
      <c r="B21">
        <f>PI()/180</f>
        <v>1.7453292519943295E-2</v>
      </c>
      <c r="F21">
        <f>K18/J18</f>
        <v>3.3740779583068401E-6</v>
      </c>
      <c r="G21">
        <f>SQRT(1/J18)</f>
        <v>6.4925764944306133E-10</v>
      </c>
      <c r="H21">
        <f>G21/SQRT(COUNT(K4:K17))</f>
        <v>1.7352140571129405E-10</v>
      </c>
      <c r="I21">
        <f>G21/F21</f>
        <v>1.9242520696494754E-4</v>
      </c>
      <c r="J21">
        <f>1/G21^2</f>
        <v>2.3722794663951104E+18</v>
      </c>
      <c r="K21">
        <f>(J21*F21+J24*F24)/(J21+J24)</f>
        <v>3.3739634886201276E-6</v>
      </c>
      <c r="L21">
        <f>SQRT(1/(J21+J24))</f>
        <v>4.5824932540601213E-10</v>
      </c>
      <c r="M21" s="2">
        <f>L21/K21</f>
        <v>1.358192899690878E-4</v>
      </c>
    </row>
    <row r="22" spans="1:17" x14ac:dyDescent="0.3">
      <c r="A22" t="s">
        <v>5</v>
      </c>
      <c r="B22">
        <v>2</v>
      </c>
      <c r="F22">
        <v>3.3738498579942296E-6</v>
      </c>
      <c r="G22">
        <v>6.4687374927531453E-10</v>
      </c>
      <c r="H22">
        <f>G22/SQRT(COUNT(K5:K18))</f>
        <v>1.7288428159186679E-10</v>
      </c>
      <c r="I22">
        <f>G22/F22</f>
        <v>1.9173163492814234E-4</v>
      </c>
      <c r="K22">
        <f>K21*10^6</f>
        <v>3.3739634886201277</v>
      </c>
      <c r="L22">
        <f>L21*10^6</f>
        <v>4.5824932540601212E-4</v>
      </c>
    </row>
    <row r="23" spans="1:17" x14ac:dyDescent="0.3">
      <c r="A23" t="s">
        <v>32</v>
      </c>
      <c r="B23">
        <f>B22*(B21/60)*SQRT(2)</f>
        <v>8.2275609965895677E-4</v>
      </c>
      <c r="F23" t="s">
        <v>23</v>
      </c>
      <c r="G23" t="s">
        <v>36</v>
      </c>
      <c r="H23" t="s">
        <v>39</v>
      </c>
      <c r="I23" t="s">
        <v>37</v>
      </c>
      <c r="K23">
        <f>0.024/K21</f>
        <v>7113.295707244135</v>
      </c>
    </row>
    <row r="24" spans="1:17" x14ac:dyDescent="0.3">
      <c r="A24" t="s">
        <v>43</v>
      </c>
      <c r="B24">
        <v>0</v>
      </c>
      <c r="F24">
        <v>3.3738498579942296E-6</v>
      </c>
      <c r="G24">
        <v>6.4687374927531453E-10</v>
      </c>
      <c r="H24">
        <f>G24/SQRT(COUNT(K4:K17))</f>
        <v>1.7288428159186679E-10</v>
      </c>
      <c r="I24">
        <f>H24/F24</f>
        <v>5.1242434864794885E-5</v>
      </c>
      <c r="J24">
        <f>1/G24^2</f>
        <v>2.3897966342125937E+18</v>
      </c>
    </row>
    <row r="25" spans="1:17" x14ac:dyDescent="0.3">
      <c r="A25" t="s">
        <v>45</v>
      </c>
      <c r="B25">
        <f>B24*B21/60</f>
        <v>0</v>
      </c>
    </row>
    <row r="26" spans="1:17" x14ac:dyDescent="0.3">
      <c r="F26" t="s">
        <v>38</v>
      </c>
      <c r="J26">
        <v>1E-3</v>
      </c>
      <c r="K26">
        <f>SQRT((J26/K21)^2 + (0.024*L21/K21^2)^2)</f>
        <v>296.3888957482971</v>
      </c>
    </row>
    <row r="27" spans="1:17" x14ac:dyDescent="0.3">
      <c r="F27" t="s">
        <v>40</v>
      </c>
      <c r="G27" t="s">
        <v>41</v>
      </c>
      <c r="H27" t="s">
        <v>42</v>
      </c>
      <c r="J27">
        <f>J26*300</f>
        <v>0.3</v>
      </c>
    </row>
    <row r="28" spans="1:17" x14ac:dyDescent="0.3">
      <c r="F28">
        <f>-F24+F21</f>
        <v>2.2810031261051832E-10</v>
      </c>
      <c r="G28">
        <f>F28/SQRT(G21^2+G24^2)</f>
        <v>0.24888063847335881</v>
      </c>
      <c r="H28">
        <f>F28/SQRT(H21^2+H24^2)</f>
        <v>0.93122607936885782</v>
      </c>
    </row>
    <row r="30" spans="1:17" x14ac:dyDescent="0.3">
      <c r="C30">
        <f>598.3/0.6</f>
        <v>997.16666666666663</v>
      </c>
    </row>
    <row r="31" spans="1:17" x14ac:dyDescent="0.3">
      <c r="G31">
        <f t="array" ref="G31:Q31">TRANSPOSE(E33:E43)</f>
        <v>1.667508532005208E-8</v>
      </c>
      <c r="H31">
        <v>7.8970275017212371E-9</v>
      </c>
      <c r="I31">
        <v>4.7861832941959461E-9</v>
      </c>
      <c r="J31">
        <v>3.0153012473453165E-9</v>
      </c>
      <c r="K31">
        <v>1.6433333997174618E-9</v>
      </c>
      <c r="L31">
        <v>4.7915713541297412E-9</v>
      </c>
      <c r="M31">
        <v>3.0179559840382532E-9</v>
      </c>
      <c r="N31">
        <v>1.6482041783160968E-9</v>
      </c>
      <c r="O31">
        <v>4.7969678813809581E-9</v>
      </c>
      <c r="P31">
        <v>3.0232741220081156E-9</v>
      </c>
      <c r="Q31">
        <v>1.650295249710272E-9</v>
      </c>
    </row>
    <row r="32" spans="1:17" x14ac:dyDescent="0.3">
      <c r="G32">
        <v>3.3807618407991213E-6</v>
      </c>
      <c r="H32">
        <v>3.3729075817514629E-6</v>
      </c>
      <c r="I32">
        <v>3.3730255803599358E-6</v>
      </c>
      <c r="J32">
        <v>3.3728484802173879E-6</v>
      </c>
      <c r="K32">
        <v>3.3729039172049858E-6</v>
      </c>
      <c r="L32">
        <v>3.3746218725663698E-6</v>
      </c>
      <c r="M32">
        <v>3.3738540230091617E-6</v>
      </c>
      <c r="N32">
        <v>3.3748239796519792E-6</v>
      </c>
      <c r="O32">
        <v>3.3762199622035036E-6</v>
      </c>
      <c r="P32">
        <v>3.3758677657353678E-6</v>
      </c>
      <c r="Q32">
        <v>3.3756486044189603E-6</v>
      </c>
    </row>
    <row r="33" spans="5:17" x14ac:dyDescent="0.3">
      <c r="E33">
        <v>1.667508532005208E-8</v>
      </c>
      <c r="F33">
        <v>3.3807618407991213E-6</v>
      </c>
      <c r="G33">
        <f>ABS($F33-G$32)/SQRT($E33^2+G$31^2)</f>
        <v>0</v>
      </c>
      <c r="H33">
        <f>ABS($F33-H$32)/SQRT($E33^2+H$31^2)</f>
        <v>0.42569320867012161</v>
      </c>
      <c r="I33">
        <f t="shared" ref="I33:Q43" si="16">ABS($F33-I$32)/SQRT($E33^2+I$31^2)</f>
        <v>0.44593580953107859</v>
      </c>
      <c r="J33">
        <f t="shared" si="16"/>
        <v>0.46698846987681991</v>
      </c>
      <c r="K33">
        <f t="shared" si="16"/>
        <v>0.46896555620486158</v>
      </c>
      <c r="L33">
        <f t="shared" si="16"/>
        <v>0.35389152369581617</v>
      </c>
      <c r="M33">
        <f t="shared" si="16"/>
        <v>0.40763734495422038</v>
      </c>
      <c r="N33">
        <f t="shared" si="16"/>
        <v>0.35436496916071675</v>
      </c>
      <c r="O33">
        <f t="shared" si="16"/>
        <v>0.26175936806597538</v>
      </c>
      <c r="P33">
        <f t="shared" si="16"/>
        <v>0.28878818674942092</v>
      </c>
      <c r="Q33">
        <f t="shared" si="16"/>
        <v>0.30514852938897463</v>
      </c>
    </row>
    <row r="34" spans="5:17" x14ac:dyDescent="0.3">
      <c r="E34">
        <v>7.8970275017212371E-9</v>
      </c>
      <c r="F34">
        <v>3.3729075817514629E-6</v>
      </c>
      <c r="G34">
        <f t="shared" ref="G34:H43" si="17">ABS($F34-G$32)/SQRT($E34^2+G$31^2)</f>
        <v>0.42569320867012161</v>
      </c>
      <c r="H34">
        <f t="shared" si="17"/>
        <v>0</v>
      </c>
      <c r="I34">
        <f t="shared" si="16"/>
        <v>1.2778422458507481E-2</v>
      </c>
      <c r="J34">
        <f t="shared" si="16"/>
        <v>6.9916903166704668E-3</v>
      </c>
      <c r="K34">
        <f t="shared" si="16"/>
        <v>4.5430888395079104E-4</v>
      </c>
      <c r="L34">
        <f t="shared" si="16"/>
        <v>0.18558953225747046</v>
      </c>
      <c r="M34">
        <f t="shared" si="16"/>
        <v>0.11195111560382295</v>
      </c>
      <c r="N34">
        <f t="shared" si="16"/>
        <v>0.23755445583020959</v>
      </c>
      <c r="O34">
        <f t="shared" si="16"/>
        <v>0.35849040808446847</v>
      </c>
      <c r="P34">
        <f t="shared" si="16"/>
        <v>0.35007079025336851</v>
      </c>
      <c r="Q34">
        <f t="shared" si="16"/>
        <v>0.33975597940357422</v>
      </c>
    </row>
    <row r="35" spans="5:17" x14ac:dyDescent="0.3">
      <c r="E35">
        <v>4.7861832941959461E-9</v>
      </c>
      <c r="F35">
        <v>3.3730255803599358E-6</v>
      </c>
      <c r="G35">
        <f t="shared" si="17"/>
        <v>0.44593580953107859</v>
      </c>
      <c r="H35">
        <f t="shared" si="17"/>
        <v>1.2778422458507481E-2</v>
      </c>
      <c r="I35">
        <f t="shared" si="16"/>
        <v>0</v>
      </c>
      <c r="J35">
        <f t="shared" si="16"/>
        <v>3.1307377453912502E-2</v>
      </c>
      <c r="K35">
        <f t="shared" si="16"/>
        <v>2.4041991351989245E-2</v>
      </c>
      <c r="L35">
        <f t="shared" si="16"/>
        <v>0.23570218840643975</v>
      </c>
      <c r="M35">
        <f t="shared" si="16"/>
        <v>0.14641364955931729</v>
      </c>
      <c r="N35">
        <f t="shared" si="16"/>
        <v>0.35527248954719937</v>
      </c>
      <c r="O35">
        <f t="shared" si="16"/>
        <v>0.47140394460795365</v>
      </c>
      <c r="P35">
        <f t="shared" si="16"/>
        <v>0.50205779789236127</v>
      </c>
      <c r="Q35">
        <f t="shared" si="16"/>
        <v>0.51810679424240158</v>
      </c>
    </row>
    <row r="36" spans="5:17" x14ac:dyDescent="0.3">
      <c r="E36">
        <v>3.0153012473453165E-9</v>
      </c>
      <c r="F36">
        <v>3.3728484802173879E-6</v>
      </c>
      <c r="G36">
        <f t="shared" si="17"/>
        <v>0.46698846987681991</v>
      </c>
      <c r="H36">
        <f t="shared" si="17"/>
        <v>6.9916903166704668E-3</v>
      </c>
      <c r="I36">
        <f t="shared" si="16"/>
        <v>3.1307377453912502E-2</v>
      </c>
      <c r="J36">
        <f t="shared" si="16"/>
        <v>0</v>
      </c>
      <c r="K36">
        <f t="shared" si="16"/>
        <v>1.6143403125765895E-2</v>
      </c>
      <c r="L36">
        <f t="shared" si="16"/>
        <v>0.31324395538439842</v>
      </c>
      <c r="M36">
        <f t="shared" si="16"/>
        <v>0.23570221879659517</v>
      </c>
      <c r="N36">
        <f t="shared" si="16"/>
        <v>0.57488021376376774</v>
      </c>
      <c r="O36">
        <f t="shared" si="16"/>
        <v>0.59504309969341207</v>
      </c>
      <c r="P36">
        <f t="shared" si="16"/>
        <v>0.70710565742118514</v>
      </c>
      <c r="Q36">
        <f t="shared" si="16"/>
        <v>0.81461227219297949</v>
      </c>
    </row>
    <row r="37" spans="5:17" x14ac:dyDescent="0.3">
      <c r="E37">
        <v>1.6433333997174618E-9</v>
      </c>
      <c r="F37">
        <v>3.3729039172049858E-6</v>
      </c>
      <c r="G37">
        <f t="shared" si="17"/>
        <v>0.46896555620486158</v>
      </c>
      <c r="H37">
        <f t="shared" si="17"/>
        <v>4.5430888395079104E-4</v>
      </c>
      <c r="I37">
        <f t="shared" si="16"/>
        <v>2.4041991351989245E-2</v>
      </c>
      <c r="J37">
        <f t="shared" si="16"/>
        <v>1.6143403125765895E-2</v>
      </c>
      <c r="K37">
        <f t="shared" si="16"/>
        <v>0</v>
      </c>
      <c r="L37">
        <f t="shared" si="16"/>
        <v>0.33914551792770253</v>
      </c>
      <c r="M37">
        <f t="shared" si="16"/>
        <v>0.27648572304277641</v>
      </c>
      <c r="N37">
        <f t="shared" si="16"/>
        <v>0.82495651826552696</v>
      </c>
      <c r="O37">
        <f t="shared" si="16"/>
        <v>0.65396900963935189</v>
      </c>
      <c r="P37">
        <f t="shared" si="16"/>
        <v>0.86132439162361685</v>
      </c>
      <c r="Q37">
        <f t="shared" si="16"/>
        <v>1.1785072406398447</v>
      </c>
    </row>
    <row r="38" spans="5:17" x14ac:dyDescent="0.3">
      <c r="E38">
        <v>4.7915713541297412E-9</v>
      </c>
      <c r="F38">
        <v>3.3746218725663698E-6</v>
      </c>
      <c r="G38">
        <f t="shared" si="17"/>
        <v>0.35389152369581617</v>
      </c>
      <c r="H38">
        <f t="shared" si="17"/>
        <v>0.18558953225747046</v>
      </c>
      <c r="I38">
        <f t="shared" si="16"/>
        <v>0.23570218840643975</v>
      </c>
      <c r="J38">
        <f t="shared" si="16"/>
        <v>0.31324395538439842</v>
      </c>
      <c r="K38">
        <f t="shared" si="16"/>
        <v>0.33914551792770253</v>
      </c>
      <c r="L38">
        <f t="shared" si="16"/>
        <v>0</v>
      </c>
      <c r="M38">
        <f t="shared" si="16"/>
        <v>0.1355955761226291</v>
      </c>
      <c r="N38">
        <f t="shared" si="16"/>
        <v>3.988596590618379E-2</v>
      </c>
      <c r="O38">
        <f t="shared" si="16"/>
        <v>0.23570218833885204</v>
      </c>
      <c r="P38">
        <f t="shared" si="16"/>
        <v>0.21990380123742656</v>
      </c>
      <c r="Q38">
        <f t="shared" si="16"/>
        <v>0.20259899378563037</v>
      </c>
    </row>
    <row r="39" spans="5:17" x14ac:dyDescent="0.3">
      <c r="E39">
        <v>3.0179559840382532E-9</v>
      </c>
      <c r="F39">
        <v>3.3738540230091617E-6</v>
      </c>
      <c r="G39">
        <f t="shared" si="17"/>
        <v>0.40763734495422038</v>
      </c>
      <c r="H39">
        <f t="shared" si="17"/>
        <v>0.11195111560382295</v>
      </c>
      <c r="I39">
        <f t="shared" si="16"/>
        <v>0.14641364955931729</v>
      </c>
      <c r="J39">
        <f t="shared" si="16"/>
        <v>0.23570221879659517</v>
      </c>
      <c r="K39">
        <f t="shared" si="16"/>
        <v>0.27648572304277641</v>
      </c>
      <c r="L39">
        <f t="shared" si="16"/>
        <v>0.1355955761226291</v>
      </c>
      <c r="M39">
        <f t="shared" si="16"/>
        <v>0</v>
      </c>
      <c r="N39">
        <f t="shared" si="16"/>
        <v>0.28207100348670083</v>
      </c>
      <c r="O39">
        <f t="shared" si="16"/>
        <v>0.4174676692074189</v>
      </c>
      <c r="P39">
        <f t="shared" si="16"/>
        <v>0.4714041877363685</v>
      </c>
      <c r="Q39">
        <f t="shared" si="16"/>
        <v>0.52172621577590861</v>
      </c>
    </row>
    <row r="40" spans="5:17" x14ac:dyDescent="0.3">
      <c r="E40">
        <v>1.6482041783160968E-9</v>
      </c>
      <c r="F40">
        <v>3.3748239796519792E-6</v>
      </c>
      <c r="G40">
        <f t="shared" si="17"/>
        <v>0.35436496916071675</v>
      </c>
      <c r="H40">
        <f t="shared" si="17"/>
        <v>0.23755445583020959</v>
      </c>
      <c r="I40">
        <f t="shared" si="16"/>
        <v>0.35527248954719937</v>
      </c>
      <c r="J40">
        <f t="shared" si="16"/>
        <v>0.57488021376376774</v>
      </c>
      <c r="K40">
        <f t="shared" si="16"/>
        <v>0.82495651826552696</v>
      </c>
      <c r="L40">
        <f t="shared" si="16"/>
        <v>3.988596590618379E-2</v>
      </c>
      <c r="M40">
        <f t="shared" si="16"/>
        <v>0.28207100348670083</v>
      </c>
      <c r="N40">
        <f t="shared" si="16"/>
        <v>0</v>
      </c>
      <c r="O40">
        <f t="shared" si="16"/>
        <v>0.27522088270089529</v>
      </c>
      <c r="P40">
        <f t="shared" si="16"/>
        <v>0.30312965470280734</v>
      </c>
      <c r="Q40">
        <f t="shared" si="16"/>
        <v>0.35355328095098093</v>
      </c>
    </row>
    <row r="41" spans="5:17" x14ac:dyDescent="0.3">
      <c r="E41">
        <v>4.7969678813809581E-9</v>
      </c>
      <c r="F41">
        <v>3.3762199622035036E-6</v>
      </c>
      <c r="G41">
        <f t="shared" si="17"/>
        <v>0.26175936806597538</v>
      </c>
      <c r="H41">
        <f t="shared" si="17"/>
        <v>0.35849040808446847</v>
      </c>
      <c r="I41">
        <f t="shared" si="16"/>
        <v>0.47140394460795365</v>
      </c>
      <c r="J41">
        <f t="shared" si="16"/>
        <v>0.59504309969341207</v>
      </c>
      <c r="K41">
        <f t="shared" si="16"/>
        <v>0.65396900963935189</v>
      </c>
      <c r="L41">
        <f t="shared" si="16"/>
        <v>0.23570218833885204</v>
      </c>
      <c r="M41">
        <f t="shared" si="16"/>
        <v>0.4174676692074189</v>
      </c>
      <c r="N41">
        <f t="shared" si="16"/>
        <v>0.27522088270089529</v>
      </c>
      <c r="O41">
        <f t="shared" si="16"/>
        <v>0</v>
      </c>
      <c r="P41">
        <f t="shared" si="16"/>
        <v>6.2113666276308564E-2</v>
      </c>
      <c r="Q41">
        <f t="shared" si="16"/>
        <v>0.11262928679340921</v>
      </c>
    </row>
    <row r="42" spans="5:17" x14ac:dyDescent="0.3">
      <c r="E42">
        <v>3.0232741220081156E-9</v>
      </c>
      <c r="F42">
        <v>3.3758677657353678E-6</v>
      </c>
      <c r="G42">
        <f t="shared" si="17"/>
        <v>0.28878818674942092</v>
      </c>
      <c r="H42">
        <f t="shared" si="17"/>
        <v>0.35007079025336851</v>
      </c>
      <c r="I42">
        <f t="shared" si="16"/>
        <v>0.50205779789236127</v>
      </c>
      <c r="J42">
        <f t="shared" si="16"/>
        <v>0.70710565742118514</v>
      </c>
      <c r="K42">
        <f t="shared" si="16"/>
        <v>0.86132439162361685</v>
      </c>
      <c r="L42">
        <f t="shared" si="16"/>
        <v>0.21990380123742656</v>
      </c>
      <c r="M42">
        <f t="shared" si="16"/>
        <v>0.4714041877363685</v>
      </c>
      <c r="N42">
        <f t="shared" si="16"/>
        <v>0.30312965470280734</v>
      </c>
      <c r="O42">
        <f t="shared" si="16"/>
        <v>6.2113666276308564E-2</v>
      </c>
      <c r="P42">
        <f t="shared" si="16"/>
        <v>0</v>
      </c>
      <c r="Q42">
        <f t="shared" si="16"/>
        <v>6.3628918169695056E-2</v>
      </c>
    </row>
    <row r="43" spans="5:17" x14ac:dyDescent="0.3">
      <c r="E43">
        <v>1.650295249710272E-9</v>
      </c>
      <c r="F43">
        <v>3.3756486044189603E-6</v>
      </c>
      <c r="G43">
        <f t="shared" si="17"/>
        <v>0.30514852938897463</v>
      </c>
      <c r="H43">
        <f t="shared" si="17"/>
        <v>0.33975597940357422</v>
      </c>
      <c r="I43">
        <f t="shared" si="16"/>
        <v>0.51810679424240158</v>
      </c>
      <c r="J43">
        <f t="shared" si="16"/>
        <v>0.81461227219297949</v>
      </c>
      <c r="K43">
        <f t="shared" si="16"/>
        <v>1.1785072406398447</v>
      </c>
      <c r="L43">
        <f t="shared" si="16"/>
        <v>0.20259899378563037</v>
      </c>
      <c r="M43">
        <f t="shared" si="16"/>
        <v>0.52172621577590861</v>
      </c>
      <c r="N43">
        <f t="shared" si="16"/>
        <v>0.35355328095098093</v>
      </c>
      <c r="O43">
        <f t="shared" si="16"/>
        <v>0.11262928679340921</v>
      </c>
      <c r="P43">
        <f t="shared" si="16"/>
        <v>6.3628918169695056E-2</v>
      </c>
      <c r="Q43">
        <f t="shared" si="16"/>
        <v>0</v>
      </c>
    </row>
  </sheetData>
  <mergeCells count="2">
    <mergeCell ref="A1:D1"/>
    <mergeCell ref="E1:G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130" zoomScaleNormal="130" workbookViewId="0">
      <selection activeCell="F5" sqref="F5"/>
    </sheetView>
  </sheetViews>
  <sheetFormatPr defaultRowHeight="14.4" x14ac:dyDescent="0.3"/>
  <cols>
    <col min="6" max="6" width="14.21875" customWidth="1"/>
    <col min="7" max="7" width="12.109375" bestFit="1" customWidth="1"/>
    <col min="8" max="10" width="11.5546875" bestFit="1" customWidth="1"/>
    <col min="11" max="11" width="10.5546875" bestFit="1" customWidth="1"/>
    <col min="12" max="12" width="11.6640625" bestFit="1" customWidth="1"/>
    <col min="13" max="13" width="11.77734375" bestFit="1" customWidth="1"/>
    <col min="14" max="14" width="11.6640625" bestFit="1" customWidth="1"/>
    <col min="15" max="17" width="11.5546875" bestFit="1" customWidth="1"/>
    <col min="18" max="18" width="9.109375" bestFit="1" customWidth="1"/>
  </cols>
  <sheetData>
    <row r="1" spans="1:13" ht="15" thickBot="1" x14ac:dyDescent="0.35">
      <c r="A1" t="s">
        <v>22</v>
      </c>
      <c r="E1" t="s">
        <v>29</v>
      </c>
    </row>
    <row r="2" spans="1:13" ht="15" thickBot="1" x14ac:dyDescent="0.35">
      <c r="A2" s="6" t="s">
        <v>2</v>
      </c>
      <c r="B2" s="6" t="s">
        <v>3</v>
      </c>
      <c r="C2" s="6" t="s">
        <v>4</v>
      </c>
      <c r="D2" s="6" t="s">
        <v>31</v>
      </c>
      <c r="E2" s="6" t="s">
        <v>31</v>
      </c>
      <c r="F2" s="6" t="s">
        <v>23</v>
      </c>
      <c r="G2" s="6" t="s">
        <v>5</v>
      </c>
      <c r="H2" t="s">
        <v>33</v>
      </c>
      <c r="I2" t="s">
        <v>34</v>
      </c>
    </row>
    <row r="3" spans="1:13" x14ac:dyDescent="0.3">
      <c r="A3" s="7">
        <v>130</v>
      </c>
      <c r="B3" s="7">
        <f>39.5</f>
        <v>39.5</v>
      </c>
      <c r="C3" s="7">
        <v>0</v>
      </c>
      <c r="D3" s="7">
        <f t="shared" ref="D3:D17" si="0">$B$21*(A3+B3/60)</f>
        <v>2.2804181118349245</v>
      </c>
      <c r="E3" s="7">
        <f>ABS(D3-$D$3)</f>
        <v>0</v>
      </c>
      <c r="F3" s="7"/>
      <c r="G3" s="7"/>
      <c r="H3" t="e">
        <f>1/G3^2</f>
        <v>#DIV/0!</v>
      </c>
      <c r="I3" t="e">
        <f>H3*F3</f>
        <v>#DIV/0!</v>
      </c>
    </row>
    <row r="4" spans="1:13" x14ac:dyDescent="0.3">
      <c r="A4" s="8">
        <v>120</v>
      </c>
      <c r="B4" s="8">
        <v>36</v>
      </c>
      <c r="C4" s="8">
        <v>1</v>
      </c>
      <c r="D4" s="9">
        <f t="shared" si="0"/>
        <v>2.1048670779051615</v>
      </c>
      <c r="E4" s="9">
        <f t="shared" ref="E4:E17" si="1">ABS(D4-$D$3)</f>
        <v>0.17555103392976301</v>
      </c>
      <c r="F4" s="18">
        <f>ABS(C4*0.0000005896/SIN(E4))</f>
        <v>3.37588055785776E-6</v>
      </c>
      <c r="G4" s="14">
        <f t="shared" ref="G4:G17" si="2">F4*(COS(E4)/SIN(E4))*$B$23</f>
        <v>1.565889251387149E-8</v>
      </c>
      <c r="H4">
        <f t="shared" ref="H4:H17" si="3">1/G4^2</f>
        <v>4078288211015811.5</v>
      </c>
      <c r="I4">
        <f t="shared" ref="I4:I17" si="4">H4*F4</f>
        <v>13767813880.908783</v>
      </c>
    </row>
    <row r="5" spans="1:13" x14ac:dyDescent="0.3">
      <c r="A5" s="7">
        <v>110</v>
      </c>
      <c r="B5" s="7">
        <v>10</v>
      </c>
      <c r="C5" s="7">
        <v>2</v>
      </c>
      <c r="D5" s="10">
        <f t="shared" si="0"/>
        <v>1.9227710592804197</v>
      </c>
      <c r="E5" s="10">
        <f t="shared" si="1"/>
        <v>0.3576470525545048</v>
      </c>
      <c r="F5" s="19">
        <f t="shared" ref="F5:F17" si="5">ABS(C5*0.0000005896/SIN(E5))</f>
        <v>3.3684581544246727E-6</v>
      </c>
      <c r="G5" s="15">
        <f t="shared" si="2"/>
        <v>7.4157860308670747E-9</v>
      </c>
      <c r="H5">
        <f t="shared" si="3"/>
        <v>1.8183840735509148E+16</v>
      </c>
      <c r="I5">
        <f t="shared" si="4"/>
        <v>61251506604.285332</v>
      </c>
    </row>
    <row r="6" spans="1:13" x14ac:dyDescent="0.3">
      <c r="A6" s="8">
        <v>99</v>
      </c>
      <c r="B6" s="8">
        <v>1</v>
      </c>
      <c r="C6" s="8">
        <v>3</v>
      </c>
      <c r="D6" s="9">
        <f t="shared" si="0"/>
        <v>1.7281668476830521</v>
      </c>
      <c r="E6" s="9">
        <f t="shared" si="1"/>
        <v>0.55225126415187242</v>
      </c>
      <c r="F6" s="18">
        <f t="shared" si="5"/>
        <v>3.3716786120719586E-6</v>
      </c>
      <c r="G6" s="14">
        <f t="shared" si="2"/>
        <v>4.5018461339175965E-9</v>
      </c>
      <c r="H6">
        <f t="shared" si="3"/>
        <v>4.9342222255833984E+16</v>
      </c>
      <c r="I6">
        <f t="shared" si="4"/>
        <v>166366115452.09644</v>
      </c>
    </row>
    <row r="7" spans="1:13" x14ac:dyDescent="0.3">
      <c r="A7" s="7">
        <v>86</v>
      </c>
      <c r="B7" s="7">
        <v>17.5</v>
      </c>
      <c r="C7" s="7">
        <v>4</v>
      </c>
      <c r="D7" s="10">
        <f t="shared" si="0"/>
        <v>1.5060737003667737</v>
      </c>
      <c r="E7" s="10">
        <f t="shared" si="1"/>
        <v>0.77434441146815081</v>
      </c>
      <c r="F7" s="19">
        <f t="shared" si="5"/>
        <v>3.3727682998701388E-6</v>
      </c>
      <c r="G7" s="15">
        <f t="shared" si="2"/>
        <v>2.8370015113952423E-9</v>
      </c>
      <c r="H7">
        <f t="shared" si="3"/>
        <v>1.2424555650979557E+17</v>
      </c>
      <c r="I7">
        <f t="shared" si="4"/>
        <v>419051474395.96246</v>
      </c>
    </row>
    <row r="8" spans="1:13" x14ac:dyDescent="0.3">
      <c r="A8" s="8">
        <v>69</v>
      </c>
      <c r="B8" s="8">
        <v>44.5</v>
      </c>
      <c r="C8" s="8">
        <v>5</v>
      </c>
      <c r="D8" s="9">
        <f t="shared" si="0"/>
        <v>1.2172217091617119</v>
      </c>
      <c r="E8" s="9">
        <f t="shared" si="1"/>
        <v>1.0631964026732126</v>
      </c>
      <c r="F8" s="18">
        <f t="shared" si="5"/>
        <v>3.3733309717076428E-6</v>
      </c>
      <c r="G8" s="14">
        <f t="shared" si="2"/>
        <v>1.5437264815242168E-9</v>
      </c>
      <c r="H8">
        <f t="shared" si="3"/>
        <v>4.1962300695639322E+17</v>
      </c>
      <c r="I8">
        <f t="shared" si="4"/>
        <v>1415527285807.093</v>
      </c>
      <c r="M8" s="1"/>
    </row>
    <row r="9" spans="1:13" x14ac:dyDescent="0.3">
      <c r="A9" s="7">
        <v>99</v>
      </c>
      <c r="B9" s="7">
        <v>1.5</v>
      </c>
      <c r="C9" s="7">
        <v>3</v>
      </c>
      <c r="D9" s="10">
        <f t="shared" ref="D9:D11" si="6">$B$21*(A9+B9/60)</f>
        <v>1.728312291787385</v>
      </c>
      <c r="E9" s="10">
        <f t="shared" ref="E9:E11" si="7">ABS(D9-$D$3)</f>
        <v>0.5521058200475395</v>
      </c>
      <c r="F9" s="19">
        <f t="shared" ref="F9:F11" si="8">ABS(C9*0.0000005896/SIN(E9))</f>
        <v>3.3724746571135818E-6</v>
      </c>
      <c r="G9" s="15">
        <f t="shared" ref="G9:G11" si="9">F9*(COS(E9)/SIN(E9))*$B$23</f>
        <v>4.5043757493989681E-9</v>
      </c>
      <c r="H9">
        <f t="shared" ref="H9:H11" si="10">1/G9^2</f>
        <v>4.9286817552383088E+16</v>
      </c>
      <c r="I9">
        <f t="shared" ref="I9:I11" si="11">H9*F9</f>
        <v>166218543125.19281</v>
      </c>
      <c r="M9" s="1"/>
    </row>
    <row r="10" spans="1:13" x14ac:dyDescent="0.3">
      <c r="A10" s="8">
        <v>86</v>
      </c>
      <c r="B10" s="8">
        <v>17</v>
      </c>
      <c r="C10" s="8">
        <v>4</v>
      </c>
      <c r="D10" s="9">
        <f t="shared" si="6"/>
        <v>1.5059282562624405</v>
      </c>
      <c r="E10" s="9">
        <f t="shared" si="7"/>
        <v>0.77448985557248395</v>
      </c>
      <c r="F10" s="18">
        <f t="shared" si="8"/>
        <v>3.372266894345403E-6</v>
      </c>
      <c r="G10" s="14">
        <f t="shared" si="9"/>
        <v>2.8357545479333265E-9</v>
      </c>
      <c r="H10">
        <f t="shared" si="10"/>
        <v>1.2435484927839501E+17</v>
      </c>
      <c r="I10">
        <f t="shared" si="11"/>
        <v>419357741372.84381</v>
      </c>
      <c r="M10" s="1"/>
    </row>
    <row r="11" spans="1:13" x14ac:dyDescent="0.3">
      <c r="A11" s="7">
        <v>69</v>
      </c>
      <c r="B11" s="7">
        <v>43</v>
      </c>
      <c r="C11" s="7">
        <v>5</v>
      </c>
      <c r="D11" s="10">
        <f t="shared" si="6"/>
        <v>1.2167853768487134</v>
      </c>
      <c r="E11" s="10">
        <f t="shared" si="7"/>
        <v>1.0636327349862111</v>
      </c>
      <c r="F11" s="19">
        <f t="shared" si="8"/>
        <v>3.3725128067385949E-6</v>
      </c>
      <c r="G11" s="15">
        <f t="shared" si="9"/>
        <v>1.5417671753124826E-9</v>
      </c>
      <c r="H11">
        <f t="shared" si="10"/>
        <v>4.206902139791913E+17</v>
      </c>
      <c r="I11">
        <f t="shared" si="11"/>
        <v>1418783134314.4226</v>
      </c>
      <c r="M11" s="1"/>
    </row>
    <row r="12" spans="1:13" x14ac:dyDescent="0.3">
      <c r="A12" s="8">
        <v>162</v>
      </c>
      <c r="B12" s="8">
        <v>17</v>
      </c>
      <c r="C12" s="8">
        <v>-3</v>
      </c>
      <c r="D12" s="9">
        <f t="shared" si="0"/>
        <v>2.8323784877781311</v>
      </c>
      <c r="E12" s="9">
        <f t="shared" si="1"/>
        <v>0.55196037594320657</v>
      </c>
      <c r="F12" s="18">
        <f t="shared" si="5"/>
        <v>3.3732711495075187E-6</v>
      </c>
      <c r="G12" s="14">
        <f t="shared" si="2"/>
        <v>4.5069073479419478E-9</v>
      </c>
      <c r="H12">
        <f t="shared" si="3"/>
        <v>4.9231462790448752E+16</v>
      </c>
      <c r="I12">
        <f t="shared" si="4"/>
        <v>166071073079.0737</v>
      </c>
    </row>
    <row r="13" spans="1:13" x14ac:dyDescent="0.3">
      <c r="A13" s="7">
        <v>175</v>
      </c>
      <c r="B13" s="7">
        <v>0.5</v>
      </c>
      <c r="C13" s="7">
        <v>-4</v>
      </c>
      <c r="D13" s="10">
        <f t="shared" si="0"/>
        <v>3.0544716350944094</v>
      </c>
      <c r="E13" s="10">
        <f t="shared" si="1"/>
        <v>0.77405352325948495</v>
      </c>
      <c r="F13" s="19">
        <f t="shared" si="5"/>
        <v>3.3737717725208159E-6</v>
      </c>
      <c r="G13" s="15">
        <f t="shared" si="2"/>
        <v>2.8394974681333578E-9</v>
      </c>
      <c r="H13">
        <f t="shared" si="3"/>
        <v>1.2402722545557861E+17</v>
      </c>
      <c r="I13">
        <f t="shared" si="4"/>
        <v>418439552266.10632</v>
      </c>
    </row>
    <row r="14" spans="1:13" x14ac:dyDescent="0.3">
      <c r="A14" s="8">
        <v>191</v>
      </c>
      <c r="B14" s="8">
        <v>31</v>
      </c>
      <c r="C14" s="8">
        <v>-5</v>
      </c>
      <c r="D14" s="9">
        <f t="shared" si="0"/>
        <v>3.3425964057778073</v>
      </c>
      <c r="E14" s="9">
        <f t="shared" si="1"/>
        <v>1.0621782939428828</v>
      </c>
      <c r="F14" s="18">
        <f t="shared" si="5"/>
        <v>3.3752440680913183E-6</v>
      </c>
      <c r="G14" s="14">
        <f t="shared" si="2"/>
        <v>1.5483060387774421E-9</v>
      </c>
      <c r="H14">
        <f t="shared" si="3"/>
        <v>4.1714436828009933E+17</v>
      </c>
      <c r="I14">
        <f t="shared" si="4"/>
        <v>1407964054575.1055</v>
      </c>
    </row>
    <row r="15" spans="1:13" x14ac:dyDescent="0.3">
      <c r="A15" s="7">
        <v>162</v>
      </c>
      <c r="B15" s="7">
        <v>17</v>
      </c>
      <c r="C15" s="7">
        <v>-3</v>
      </c>
      <c r="D15" s="10">
        <f t="shared" si="0"/>
        <v>2.8323784877781311</v>
      </c>
      <c r="E15" s="10">
        <f t="shared" si="1"/>
        <v>0.55196037594320657</v>
      </c>
      <c r="F15" s="19">
        <f t="shared" si="5"/>
        <v>3.3732711495075187E-6</v>
      </c>
      <c r="G15" s="15">
        <f t="shared" si="2"/>
        <v>4.5069073479419478E-9</v>
      </c>
      <c r="H15">
        <f t="shared" si="3"/>
        <v>4.9231462790448752E+16</v>
      </c>
      <c r="I15">
        <f t="shared" si="4"/>
        <v>166071073079.0737</v>
      </c>
    </row>
    <row r="16" spans="1:13" x14ac:dyDescent="0.3">
      <c r="A16" s="8">
        <v>175</v>
      </c>
      <c r="B16" s="8">
        <v>0</v>
      </c>
      <c r="C16" s="8">
        <v>-4</v>
      </c>
      <c r="D16" s="9">
        <f t="shared" si="0"/>
        <v>3.0543261909900767</v>
      </c>
      <c r="E16" s="9">
        <f t="shared" si="1"/>
        <v>0.77390807915515225</v>
      </c>
      <c r="F16" s="18">
        <f t="shared" si="5"/>
        <v>3.3742738398860948E-6</v>
      </c>
      <c r="G16" s="14">
        <f t="shared" si="2"/>
        <v>2.8407464624433415E-9</v>
      </c>
      <c r="H16">
        <f t="shared" si="3"/>
        <v>1.2391818704166269E+17</v>
      </c>
      <c r="I16">
        <f t="shared" si="4"/>
        <v>418133896820.79449</v>
      </c>
    </row>
    <row r="17" spans="1:18" ht="15" thickBot="1" x14ac:dyDescent="0.35">
      <c r="A17" s="11">
        <v>191</v>
      </c>
      <c r="B17" s="11">
        <v>30</v>
      </c>
      <c r="C17" s="11">
        <v>-5</v>
      </c>
      <c r="D17" s="12">
        <f t="shared" si="0"/>
        <v>3.342305517569141</v>
      </c>
      <c r="E17" s="12">
        <f t="shared" si="1"/>
        <v>1.0618874057342165</v>
      </c>
      <c r="F17" s="20">
        <f t="shared" si="5"/>
        <v>3.3757917085744369E-6</v>
      </c>
      <c r="G17" s="16">
        <f t="shared" si="2"/>
        <v>1.5496165053329544E-9</v>
      </c>
      <c r="H17">
        <f t="shared" si="3"/>
        <v>4.1643913237583789E+17</v>
      </c>
      <c r="I17">
        <f t="shared" si="4"/>
        <v>1405811770200.2859</v>
      </c>
    </row>
    <row r="18" spans="1:18" x14ac:dyDescent="0.3">
      <c r="G18" t="s">
        <v>35</v>
      </c>
      <c r="H18">
        <f>SUM(H4:H17)</f>
        <v>2.3897966342125932E+18</v>
      </c>
      <c r="I18">
        <f>SUM(I4:I17)</f>
        <v>8062815034973.2451</v>
      </c>
    </row>
    <row r="19" spans="1:18" x14ac:dyDescent="0.3">
      <c r="A19" t="s">
        <v>27</v>
      </c>
    </row>
    <row r="20" spans="1:18" x14ac:dyDescent="0.3">
      <c r="F20" t="s">
        <v>23</v>
      </c>
      <c r="G20" t="s">
        <v>36</v>
      </c>
      <c r="H20" t="s">
        <v>39</v>
      </c>
      <c r="I20" t="s">
        <v>37</v>
      </c>
    </row>
    <row r="21" spans="1:18" x14ac:dyDescent="0.3">
      <c r="A21" t="s">
        <v>28</v>
      </c>
      <c r="B21">
        <f>PI()/180</f>
        <v>1.7453292519943295E-2</v>
      </c>
      <c r="F21">
        <f>I18/H18</f>
        <v>3.3738498579942296E-6</v>
      </c>
      <c r="G21">
        <f>SQRT(1/H18)</f>
        <v>6.4687374927531453E-10</v>
      </c>
      <c r="H21">
        <f>G21/SQRT(COUNT(I4:I17))</f>
        <v>1.7288428159186679E-10</v>
      </c>
      <c r="I21">
        <f>H21/F21</f>
        <v>5.1242434864794885E-5</v>
      </c>
    </row>
    <row r="22" spans="1:18" x14ac:dyDescent="0.3">
      <c r="A22" t="s">
        <v>5</v>
      </c>
      <c r="B22">
        <v>2</v>
      </c>
    </row>
    <row r="23" spans="1:18" x14ac:dyDescent="0.3">
      <c r="A23" t="s">
        <v>32</v>
      </c>
      <c r="B23">
        <f>B22*(B21/60)*SQRT(2)</f>
        <v>8.2275609965895677E-4</v>
      </c>
    </row>
    <row r="25" spans="1:18" x14ac:dyDescent="0.3">
      <c r="A25" t="s">
        <v>56</v>
      </c>
      <c r="B25">
        <v>589</v>
      </c>
      <c r="C25">
        <f>AVERAGE(B25:B26)</f>
        <v>589.29999999999995</v>
      </c>
      <c r="G25">
        <f t="array" ref="G25:Q25">TRANSPOSE(E27:E37)</f>
        <v>1.6591861896754958E-8</v>
      </c>
      <c r="H25">
        <v>7.8576245140602467E-9</v>
      </c>
      <c r="I25">
        <v>4.7700697394935818E-9</v>
      </c>
      <c r="J25">
        <v>3.00603233825488E-9</v>
      </c>
      <c r="K25">
        <v>1.6357029441975933E-9</v>
      </c>
      <c r="L25">
        <v>4.7754325047113365E-9</v>
      </c>
      <c r="M25">
        <v>3.0086770060985602E-9</v>
      </c>
      <c r="N25">
        <v>1.640555355147249E-9</v>
      </c>
      <c r="O25">
        <v>4.7754325047113365E-9</v>
      </c>
      <c r="P25">
        <v>3.0100004164919022E-9</v>
      </c>
      <c r="Q25">
        <v>1.6419439003518419E-9</v>
      </c>
    </row>
    <row r="26" spans="1:18" x14ac:dyDescent="0.3">
      <c r="A26" t="s">
        <v>57</v>
      </c>
      <c r="B26">
        <v>589.6</v>
      </c>
      <c r="C26">
        <f>B26-B25</f>
        <v>0.60000000000002274</v>
      </c>
      <c r="G26">
        <f t="array" ref="G26:R26">TRANSPOSE(F27:F37)</f>
        <v>3.3724451298816497E-6</v>
      </c>
      <c r="H26">
        <v>3.3650302797763436E-6</v>
      </c>
      <c r="I26">
        <v>3.3682474601600803E-6</v>
      </c>
      <c r="J26">
        <v>3.3693360390493753E-6</v>
      </c>
      <c r="K26">
        <v>3.3698981382900295E-6</v>
      </c>
      <c r="L26">
        <v>3.3698383769673139E-6</v>
      </c>
      <c r="M26">
        <v>3.3703384905270699E-6</v>
      </c>
      <c r="N26">
        <v>3.3718092878320658E-6</v>
      </c>
      <c r="O26">
        <v>3.3698383769673139E-6</v>
      </c>
      <c r="P26">
        <v>3.3708400469689784E-6</v>
      </c>
      <c r="Q26">
        <v>3.3723563710148285E-6</v>
      </c>
      <c r="R26" t="e">
        <v>#N/A</v>
      </c>
    </row>
    <row r="27" spans="1:18" x14ac:dyDescent="0.3">
      <c r="C27">
        <f>C25/C26</f>
        <v>982.16666666662934</v>
      </c>
      <c r="E27">
        <v>1.6591861896754958E-8</v>
      </c>
      <c r="F27">
        <v>3.3724451298816497E-6</v>
      </c>
      <c r="G27">
        <f>ABS($F27-G$26)/SQRT($E27^2+G$25^2)</f>
        <v>0</v>
      </c>
      <c r="H27">
        <f t="shared" ref="H27:Q37" si="12">ABS($F27-H$26)/SQRT($E27^2+H$25^2)</f>
        <v>0.40389336080070648</v>
      </c>
      <c r="I27">
        <f t="shared" si="12"/>
        <v>0.24314675408194603</v>
      </c>
      <c r="J27">
        <f t="shared" si="12"/>
        <v>0.18438476634059003</v>
      </c>
      <c r="K27">
        <f t="shared" si="12"/>
        <v>0.15276790996453488</v>
      </c>
      <c r="L27">
        <f t="shared" si="12"/>
        <v>0.15098116999655725</v>
      </c>
      <c r="M27">
        <f t="shared" si="12"/>
        <v>0.12493084343757835</v>
      </c>
      <c r="N27">
        <f t="shared" si="12"/>
        <v>3.813655437686278E-2</v>
      </c>
      <c r="O27">
        <f t="shared" si="12"/>
        <v>0.15098116999655725</v>
      </c>
      <c r="P27">
        <f t="shared" si="12"/>
        <v>9.5185515773529045E-2</v>
      </c>
      <c r="Q27">
        <f t="shared" si="12"/>
        <v>5.323538452543213E-3</v>
      </c>
    </row>
    <row r="28" spans="1:18" x14ac:dyDescent="0.3">
      <c r="E28">
        <v>7.8576245140602467E-9</v>
      </c>
      <c r="F28">
        <v>3.3650302797763436E-6</v>
      </c>
      <c r="G28">
        <f t="shared" ref="G28:G37" si="13">ABS($F28-G$26)/SQRT($E28^2+G$25^2)</f>
        <v>0.40389336080070648</v>
      </c>
      <c r="H28">
        <f t="shared" si="12"/>
        <v>0</v>
      </c>
      <c r="I28">
        <f t="shared" si="12"/>
        <v>0.34999172649055499</v>
      </c>
      <c r="J28">
        <f t="shared" si="12"/>
        <v>0.51179859406631456</v>
      </c>
      <c r="K28">
        <f t="shared" si="12"/>
        <v>0.60650592216466737</v>
      </c>
      <c r="L28">
        <f t="shared" si="12"/>
        <v>0.52290655867426683</v>
      </c>
      <c r="M28">
        <f t="shared" si="12"/>
        <v>0.63088282369314408</v>
      </c>
      <c r="N28">
        <f t="shared" si="12"/>
        <v>0.8445194683015903</v>
      </c>
      <c r="O28">
        <f t="shared" si="12"/>
        <v>0.52290655867426683</v>
      </c>
      <c r="P28">
        <f t="shared" si="12"/>
        <v>0.69045415261259702</v>
      </c>
      <c r="Q28">
        <f t="shared" si="12"/>
        <v>0.91264205762988271</v>
      </c>
    </row>
    <row r="29" spans="1:18" x14ac:dyDescent="0.3">
      <c r="E29">
        <v>4.7700697394935818E-9</v>
      </c>
      <c r="F29">
        <v>3.3682474601600803E-6</v>
      </c>
      <c r="G29">
        <f t="shared" si="13"/>
        <v>0.24314675408194603</v>
      </c>
      <c r="H29">
        <f t="shared" si="12"/>
        <v>0.34999172649055499</v>
      </c>
      <c r="I29">
        <f t="shared" si="12"/>
        <v>0</v>
      </c>
      <c r="J29">
        <f t="shared" si="12"/>
        <v>0.19307055238543608</v>
      </c>
      <c r="K29">
        <f t="shared" si="12"/>
        <v>0.32733842814149583</v>
      </c>
      <c r="L29">
        <f t="shared" si="12"/>
        <v>0.23570218860870398</v>
      </c>
      <c r="M29">
        <f t="shared" si="12"/>
        <v>0.37077277954513371</v>
      </c>
      <c r="N29">
        <f t="shared" si="12"/>
        <v>0.70610906230955162</v>
      </c>
      <c r="O29">
        <f t="shared" si="12"/>
        <v>0.23570218860870398</v>
      </c>
      <c r="P29">
        <f t="shared" si="12"/>
        <v>0.45964912308028066</v>
      </c>
      <c r="Q29">
        <f t="shared" si="12"/>
        <v>0.81449178284791779</v>
      </c>
    </row>
    <row r="30" spans="1:18" x14ac:dyDescent="0.3">
      <c r="E30">
        <v>3.00603233825488E-9</v>
      </c>
      <c r="F30">
        <v>3.3693360390493753E-6</v>
      </c>
      <c r="G30">
        <f t="shared" si="13"/>
        <v>0.18438476634059003</v>
      </c>
      <c r="H30">
        <f t="shared" si="12"/>
        <v>0.51179859406631456</v>
      </c>
      <c r="I30">
        <f t="shared" si="12"/>
        <v>0.19307055238543608</v>
      </c>
      <c r="J30">
        <f t="shared" si="12"/>
        <v>0</v>
      </c>
      <c r="K30">
        <f t="shared" si="12"/>
        <v>0.16424872907414648</v>
      </c>
      <c r="L30">
        <f t="shared" si="12"/>
        <v>8.9023098718057775E-2</v>
      </c>
      <c r="M30">
        <f t="shared" si="12"/>
        <v>0.23570221887166121</v>
      </c>
      <c r="N30">
        <f t="shared" si="12"/>
        <v>0.72220794760942308</v>
      </c>
      <c r="O30">
        <f t="shared" si="12"/>
        <v>8.9023098718057775E-2</v>
      </c>
      <c r="P30">
        <f t="shared" si="12"/>
        <v>0.35355325043185615</v>
      </c>
      <c r="Q30">
        <f t="shared" si="12"/>
        <v>0.88178917179276339</v>
      </c>
    </row>
    <row r="31" spans="1:18" x14ac:dyDescent="0.3">
      <c r="E31">
        <v>1.6357029441975933E-9</v>
      </c>
      <c r="F31">
        <v>3.3698981382900295E-6</v>
      </c>
      <c r="G31">
        <f t="shared" si="13"/>
        <v>0.15276790996453488</v>
      </c>
      <c r="H31">
        <f t="shared" si="12"/>
        <v>0.60650592216466737</v>
      </c>
      <c r="I31">
        <f t="shared" si="12"/>
        <v>0.32733842814149583</v>
      </c>
      <c r="J31">
        <f t="shared" si="12"/>
        <v>0.16424872907414648</v>
      </c>
      <c r="K31">
        <f t="shared" si="12"/>
        <v>0</v>
      </c>
      <c r="L31">
        <f t="shared" si="12"/>
        <v>1.1839084097938546E-2</v>
      </c>
      <c r="M31">
        <f t="shared" si="12"/>
        <v>0.12858623985157622</v>
      </c>
      <c r="N31">
        <f t="shared" si="12"/>
        <v>0.8249565176849204</v>
      </c>
      <c r="O31">
        <f t="shared" si="12"/>
        <v>1.1839084097938546E-2</v>
      </c>
      <c r="P31">
        <f t="shared" si="12"/>
        <v>0.27495122354349</v>
      </c>
      <c r="Q31">
        <f t="shared" si="12"/>
        <v>1.0606572097811251</v>
      </c>
    </row>
    <row r="32" spans="1:18" x14ac:dyDescent="0.3">
      <c r="E32">
        <v>4.7754325047113365E-9</v>
      </c>
      <c r="F32">
        <v>3.3698383769673139E-6</v>
      </c>
      <c r="G32">
        <f t="shared" si="13"/>
        <v>0.15098116999655725</v>
      </c>
      <c r="H32">
        <f t="shared" si="12"/>
        <v>0.52290655867426683</v>
      </c>
      <c r="I32">
        <f t="shared" si="12"/>
        <v>0.23570218860870398</v>
      </c>
      <c r="J32">
        <f t="shared" si="12"/>
        <v>8.9023098718057775E-2</v>
      </c>
      <c r="K32">
        <f t="shared" si="12"/>
        <v>1.1839084097938546E-2</v>
      </c>
      <c r="L32">
        <f t="shared" si="12"/>
        <v>0</v>
      </c>
      <c r="M32">
        <f t="shared" si="12"/>
        <v>8.8606773366302988E-2</v>
      </c>
      <c r="N32">
        <f t="shared" si="12"/>
        <v>0.39032776672761726</v>
      </c>
      <c r="O32">
        <f t="shared" si="12"/>
        <v>0</v>
      </c>
      <c r="P32">
        <f t="shared" si="12"/>
        <v>0.1774470047810007</v>
      </c>
      <c r="Q32">
        <f t="shared" si="12"/>
        <v>0.49862993408475825</v>
      </c>
    </row>
    <row r="33" spans="5:17" x14ac:dyDescent="0.3">
      <c r="E33">
        <v>3.0086770060985602E-9</v>
      </c>
      <c r="F33">
        <v>3.3703384905270699E-6</v>
      </c>
      <c r="G33">
        <f t="shared" si="13"/>
        <v>0.12493084343757835</v>
      </c>
      <c r="H33">
        <f t="shared" si="12"/>
        <v>0.63088282369314408</v>
      </c>
      <c r="I33">
        <f t="shared" si="12"/>
        <v>0.37077277954513371</v>
      </c>
      <c r="J33">
        <f t="shared" si="12"/>
        <v>0.23570221887166121</v>
      </c>
      <c r="K33">
        <f t="shared" si="12"/>
        <v>0.12858623985157622</v>
      </c>
      <c r="L33">
        <f t="shared" si="12"/>
        <v>8.8606773366302988E-2</v>
      </c>
      <c r="M33">
        <f t="shared" si="12"/>
        <v>0</v>
      </c>
      <c r="N33">
        <f t="shared" si="12"/>
        <v>0.42919332073947908</v>
      </c>
      <c r="O33">
        <f t="shared" si="12"/>
        <v>8.8606773366302988E-2</v>
      </c>
      <c r="P33">
        <f t="shared" si="12"/>
        <v>0.11785112500515872</v>
      </c>
      <c r="Q33">
        <f t="shared" si="12"/>
        <v>0.58872341282208007</v>
      </c>
    </row>
    <row r="34" spans="5:17" x14ac:dyDescent="0.3">
      <c r="E34">
        <v>1.640555355147249E-9</v>
      </c>
      <c r="F34">
        <v>3.3718092878320658E-6</v>
      </c>
      <c r="G34">
        <f t="shared" si="13"/>
        <v>3.813655437686278E-2</v>
      </c>
      <c r="H34">
        <f t="shared" si="12"/>
        <v>0.8445194683015903</v>
      </c>
      <c r="I34">
        <f t="shared" si="12"/>
        <v>0.70610906230955162</v>
      </c>
      <c r="J34">
        <f t="shared" si="12"/>
        <v>0.72220794760942308</v>
      </c>
      <c r="K34">
        <f t="shared" si="12"/>
        <v>0.8249565176849204</v>
      </c>
      <c r="L34">
        <f t="shared" si="12"/>
        <v>0.39032776672761726</v>
      </c>
      <c r="M34">
        <f t="shared" si="12"/>
        <v>0.42919332073947908</v>
      </c>
      <c r="N34">
        <f t="shared" si="12"/>
        <v>0</v>
      </c>
      <c r="O34">
        <f t="shared" si="12"/>
        <v>0.39032776672761726</v>
      </c>
      <c r="P34">
        <f t="shared" si="12"/>
        <v>0.28273828064489925</v>
      </c>
      <c r="Q34">
        <f t="shared" si="12"/>
        <v>0.23570222789548148</v>
      </c>
    </row>
    <row r="35" spans="5:17" x14ac:dyDescent="0.3">
      <c r="E35">
        <v>4.7754325047113365E-9</v>
      </c>
      <c r="F35">
        <v>3.3698383769673139E-6</v>
      </c>
      <c r="G35">
        <f t="shared" si="13"/>
        <v>0.15098116999655725</v>
      </c>
      <c r="H35">
        <f t="shared" si="12"/>
        <v>0.52290655867426683</v>
      </c>
      <c r="I35">
        <f t="shared" si="12"/>
        <v>0.23570218860870398</v>
      </c>
      <c r="J35">
        <f t="shared" si="12"/>
        <v>8.9023098718057775E-2</v>
      </c>
      <c r="K35">
        <f t="shared" si="12"/>
        <v>1.1839084097938546E-2</v>
      </c>
      <c r="L35">
        <f t="shared" si="12"/>
        <v>0</v>
      </c>
      <c r="M35">
        <f t="shared" si="12"/>
        <v>8.8606773366302988E-2</v>
      </c>
      <c r="N35">
        <f t="shared" si="12"/>
        <v>0.39032776672761726</v>
      </c>
      <c r="O35">
        <f t="shared" si="12"/>
        <v>0</v>
      </c>
      <c r="P35">
        <f t="shared" si="12"/>
        <v>0.1774470047810007</v>
      </c>
      <c r="Q35">
        <f t="shared" si="12"/>
        <v>0.49862993408475825</v>
      </c>
    </row>
    <row r="36" spans="5:17" x14ac:dyDescent="0.3">
      <c r="E36">
        <v>3.0100004164919022E-9</v>
      </c>
      <c r="F36">
        <v>3.3708400469689784E-6</v>
      </c>
      <c r="G36">
        <f t="shared" si="13"/>
        <v>9.5185515773529045E-2</v>
      </c>
      <c r="H36">
        <f t="shared" si="12"/>
        <v>0.69045415261259702</v>
      </c>
      <c r="I36">
        <f t="shared" si="12"/>
        <v>0.45964912308028066</v>
      </c>
      <c r="J36">
        <f t="shared" si="12"/>
        <v>0.35355325043185615</v>
      </c>
      <c r="K36">
        <f t="shared" si="12"/>
        <v>0.27495122354349</v>
      </c>
      <c r="L36">
        <f t="shared" si="12"/>
        <v>0.1774470047810007</v>
      </c>
      <c r="M36">
        <f t="shared" si="12"/>
        <v>0.11785112500515872</v>
      </c>
      <c r="N36">
        <f t="shared" si="12"/>
        <v>0.28273828064489925</v>
      </c>
      <c r="O36">
        <f t="shared" si="12"/>
        <v>0.1774470047810007</v>
      </c>
      <c r="P36">
        <f t="shared" si="12"/>
        <v>0</v>
      </c>
      <c r="Q36">
        <f t="shared" si="12"/>
        <v>0.44224274148142911</v>
      </c>
    </row>
    <row r="37" spans="5:17" x14ac:dyDescent="0.3">
      <c r="E37">
        <v>1.6419439003518419E-9</v>
      </c>
      <c r="F37">
        <v>3.3723563710148285E-6</v>
      </c>
      <c r="G37">
        <f t="shared" si="13"/>
        <v>5.323538452543213E-3</v>
      </c>
      <c r="H37">
        <f t="shared" si="12"/>
        <v>0.91264205762988271</v>
      </c>
      <c r="I37">
        <f t="shared" si="12"/>
        <v>0.81449178284791779</v>
      </c>
      <c r="J37">
        <f t="shared" si="12"/>
        <v>0.88178917179276339</v>
      </c>
      <c r="K37">
        <f t="shared" si="12"/>
        <v>1.0606572097811251</v>
      </c>
      <c r="L37">
        <f t="shared" si="12"/>
        <v>0.49862993408475825</v>
      </c>
      <c r="M37">
        <f t="shared" si="12"/>
        <v>0.58872341282208007</v>
      </c>
      <c r="N37">
        <f t="shared" si="12"/>
        <v>0.23570222789548148</v>
      </c>
      <c r="O37">
        <f t="shared" si="12"/>
        <v>0.49862993408475825</v>
      </c>
      <c r="P37">
        <f t="shared" si="12"/>
        <v>0.44224274148142911</v>
      </c>
      <c r="Q37">
        <f t="shared" si="1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zoomScale="85" zoomScaleNormal="85" workbookViewId="0">
      <selection activeCell="I4" sqref="I4"/>
    </sheetView>
  </sheetViews>
  <sheetFormatPr defaultRowHeight="14.4" x14ac:dyDescent="0.3"/>
  <cols>
    <col min="1" max="1" width="14.5546875" bestFit="1" customWidth="1"/>
    <col min="2" max="2" width="9.5546875" customWidth="1"/>
    <col min="4" max="4" width="9.88671875" style="2" bestFit="1" customWidth="1"/>
    <col min="5" max="5" width="15.109375" style="24" customWidth="1"/>
    <col min="6" max="6" width="13.77734375" style="21" bestFit="1" customWidth="1"/>
    <col min="7" max="7" width="13.77734375" style="21" customWidth="1"/>
    <col min="8" max="8" width="13.77734375" style="23" customWidth="1"/>
    <col min="9" max="9" width="12.33203125" bestFit="1" customWidth="1"/>
    <col min="10" max="11" width="11.77734375" bestFit="1" customWidth="1"/>
    <col min="12" max="12" width="13.5546875" bestFit="1" customWidth="1"/>
    <col min="13" max="13" width="11.88671875" bestFit="1" customWidth="1"/>
    <col min="14" max="14" width="14.109375" customWidth="1"/>
    <col min="15" max="15" width="11.88671875" customWidth="1"/>
    <col min="16" max="16" width="13.5546875" customWidth="1"/>
    <col min="17" max="17" width="10.33203125" customWidth="1"/>
  </cols>
  <sheetData>
    <row r="1" spans="1:19" x14ac:dyDescent="0.3">
      <c r="A1" t="s">
        <v>24</v>
      </c>
      <c r="C1">
        <f>PI()/180</f>
        <v>1.7453292519943295E-2</v>
      </c>
      <c r="H1" s="23">
        <v>3.3739634886201276E-6</v>
      </c>
      <c r="I1">
        <v>6.4925764944306133E-10</v>
      </c>
      <c r="J1">
        <f>I1/H1</f>
        <v>1.9243173544494774E-4</v>
      </c>
      <c r="K1" t="s">
        <v>32</v>
      </c>
      <c r="L1">
        <v>8.2275609965895677E-4</v>
      </c>
      <c r="M1" t="s">
        <v>51</v>
      </c>
      <c r="P1" t="s">
        <v>52</v>
      </c>
      <c r="Q1" t="s">
        <v>53</v>
      </c>
      <c r="R1" t="s">
        <v>54</v>
      </c>
      <c r="S1" t="s">
        <v>55</v>
      </c>
    </row>
    <row r="2" spans="1:19" x14ac:dyDescent="0.3">
      <c r="A2" t="s">
        <v>21</v>
      </c>
      <c r="B2" t="s">
        <v>3</v>
      </c>
      <c r="C2" t="s">
        <v>4</v>
      </c>
      <c r="D2" s="2" t="s">
        <v>10</v>
      </c>
      <c r="E2" s="24" t="s">
        <v>26</v>
      </c>
      <c r="F2" s="21" t="s">
        <v>78</v>
      </c>
      <c r="G2" s="21" t="s">
        <v>5</v>
      </c>
      <c r="M2">
        <f>FLOOR(1/H1*0.024+0.5,1)</f>
        <v>7113</v>
      </c>
      <c r="P2">
        <f>$M$2*1</f>
        <v>7113</v>
      </c>
      <c r="Q2">
        <f>2*$P$2</f>
        <v>14226</v>
      </c>
      <c r="R2">
        <f>3*$P$2</f>
        <v>21339</v>
      </c>
      <c r="S2">
        <f>4*$P$2</f>
        <v>28452</v>
      </c>
    </row>
    <row r="3" spans="1:19" x14ac:dyDescent="0.3">
      <c r="A3">
        <v>130</v>
      </c>
      <c r="B3">
        <v>39</v>
      </c>
      <c r="C3">
        <v>0</v>
      </c>
      <c r="D3" s="2">
        <f>$C$1*(A3+B3/60)</f>
        <v>2.2802726677305918</v>
      </c>
      <c r="M3">
        <f>300*24</f>
        <v>7200</v>
      </c>
    </row>
    <row r="5" spans="1:19" x14ac:dyDescent="0.3">
      <c r="A5" s="26" t="s">
        <v>58</v>
      </c>
      <c r="B5" s="26" t="s">
        <v>59</v>
      </c>
      <c r="C5" s="26" t="s">
        <v>76</v>
      </c>
      <c r="D5" s="27" t="s">
        <v>77</v>
      </c>
      <c r="E5" s="28" t="s">
        <v>26</v>
      </c>
      <c r="F5" s="29" t="s">
        <v>78</v>
      </c>
      <c r="G5" s="29" t="s">
        <v>5</v>
      </c>
    </row>
    <row r="6" spans="1:19" x14ac:dyDescent="0.3">
      <c r="A6" s="25" t="s">
        <v>75</v>
      </c>
      <c r="B6" s="25"/>
      <c r="C6" s="25"/>
      <c r="D6" s="25"/>
      <c r="E6" s="25"/>
      <c r="F6" s="25"/>
      <c r="G6" s="25"/>
      <c r="H6" s="23" t="s">
        <v>30</v>
      </c>
      <c r="I6" t="s">
        <v>48</v>
      </c>
      <c r="J6" t="s">
        <v>33</v>
      </c>
      <c r="L6" t="s">
        <v>80</v>
      </c>
      <c r="M6" t="s">
        <v>49</v>
      </c>
      <c r="N6" t="s">
        <v>50</v>
      </c>
      <c r="O6" t="s">
        <v>5</v>
      </c>
      <c r="P6" t="s">
        <v>78</v>
      </c>
      <c r="Q6" t="s">
        <v>79</v>
      </c>
      <c r="R6" t="s">
        <v>41</v>
      </c>
    </row>
    <row r="7" spans="1:19" x14ac:dyDescent="0.3">
      <c r="A7">
        <v>116</v>
      </c>
      <c r="B7">
        <v>46</v>
      </c>
      <c r="C7">
        <v>2</v>
      </c>
      <c r="D7" s="2">
        <f>$C$1*(A7+B7/60)</f>
        <v>2.0379627899120454</v>
      </c>
      <c r="E7" s="24">
        <f>ABS($H$1*SIN(D7-$D$3)/C7)</f>
        <v>4.0478395199267739E-7</v>
      </c>
      <c r="F7" s="21">
        <f>E7*10^9</f>
        <v>404.78395199267737</v>
      </c>
      <c r="G7" s="21">
        <f>H7*10^9</f>
        <v>1.3496762618683289</v>
      </c>
      <c r="H7" s="23">
        <f>SQRT((SIN(D7-$D$3)*$I$1/C7)^2+($H$1*COS(D7-$D$3)*$L$1/C7)^2)</f>
        <v>1.349676261868329E-9</v>
      </c>
      <c r="I7">
        <f>H7/E7</f>
        <v>3.3343126752533531E-3</v>
      </c>
      <c r="J7">
        <f>1/H7^2</f>
        <v>5.4896010130199462E+17</v>
      </c>
      <c r="K7">
        <f>J7*E7</f>
        <v>222210239291.3219</v>
      </c>
      <c r="L7" s="34" t="s">
        <v>75</v>
      </c>
      <c r="M7">
        <f>K12/J12</f>
        <v>4.0463163039982234E-7</v>
      </c>
      <c r="N7" s="2">
        <f>M7*1000000000</f>
        <v>404.63163039982237</v>
      </c>
      <c r="O7" s="23">
        <f>SQRT(1/J12)</f>
        <v>3.9488588640956202E-10</v>
      </c>
      <c r="P7">
        <v>404.65600000000001</v>
      </c>
      <c r="Q7">
        <v>1800</v>
      </c>
      <c r="R7" s="22">
        <f>ABS(P7/1000000000-M7)/O7</f>
        <v>6.1713018916058536E-2</v>
      </c>
    </row>
    <row r="8" spans="1:19" x14ac:dyDescent="0.3">
      <c r="A8">
        <v>109</v>
      </c>
      <c r="B8">
        <v>34</v>
      </c>
      <c r="C8">
        <v>3</v>
      </c>
      <c r="D8" s="2">
        <f>$C$1*(A8+B8/60)</f>
        <v>1.9122990837684537</v>
      </c>
      <c r="E8" s="24">
        <f>ABS($H$1*SIN(D8-$D$3)/C8)</f>
        <v>4.0456679718155061E-7</v>
      </c>
      <c r="F8" s="21">
        <f>E8*1000000000</f>
        <v>404.56679718155061</v>
      </c>
      <c r="G8" s="21">
        <f>H8*10^9</f>
        <v>0.86687689419935687</v>
      </c>
      <c r="H8" s="23">
        <f>SQRT((SIN(D8-$D$3)*$I$1/C8)^2+($H$1*COS(D8-$D$3)*$L$1/C8)^2)</f>
        <v>8.6687689419935693E-10</v>
      </c>
      <c r="I8">
        <f>H8/E8</f>
        <v>2.1427287168362045E-3</v>
      </c>
      <c r="J8">
        <f>1/H8^2</f>
        <v>1.3307152846204713E+18</v>
      </c>
      <c r="K8">
        <f>J8*E8</f>
        <v>538363220659.43958</v>
      </c>
      <c r="L8" s="34" t="s">
        <v>74</v>
      </c>
      <c r="M8">
        <f>K18/J18</f>
        <v>4.0780204485758104E-7</v>
      </c>
      <c r="N8" s="2">
        <f>M8*1000000000</f>
        <v>407.80204485758105</v>
      </c>
      <c r="O8" s="23">
        <f>SQRT(1/J18)</f>
        <v>5.1528376135737299E-10</v>
      </c>
      <c r="P8">
        <v>407.78300000000002</v>
      </c>
      <c r="Q8">
        <v>150</v>
      </c>
      <c r="R8" s="22">
        <f>ABS(P8/1000000000-M8)/O8</f>
        <v>3.6959941316365152E-2</v>
      </c>
    </row>
    <row r="9" spans="1:19" x14ac:dyDescent="0.3">
      <c r="A9">
        <v>101</v>
      </c>
      <c r="B9">
        <v>59</v>
      </c>
      <c r="C9">
        <v>4</v>
      </c>
      <c r="D9" s="2">
        <f>$C$1*(A9+B9/60)</f>
        <v>1.7799449488255505</v>
      </c>
      <c r="E9" s="24">
        <f>ABS($H$1*SIN(D9-$D$3)/C9)</f>
        <v>4.0463363227965585E-7</v>
      </c>
      <c r="F9" s="21">
        <f>E9*1000000000</f>
        <v>404.63363227965584</v>
      </c>
      <c r="G9" s="21">
        <f>H9*10^9</f>
        <v>0.61388021443562646</v>
      </c>
      <c r="H9" s="23">
        <f>SQRT((SIN(D9-$D$3)*$I$1/C9)^2+($H$1*COS(D9-$D$3)*$L$1/C9)^2)</f>
        <v>6.1388021443562643E-10</v>
      </c>
      <c r="I9">
        <f>H9/E9</f>
        <v>1.5171260257757153E-3</v>
      </c>
      <c r="J9">
        <f>1/H9^2</f>
        <v>2.6535833144172815E+18</v>
      </c>
      <c r="K9">
        <f>J9*E9</f>
        <v>1073729055069.3527</v>
      </c>
      <c r="L9" s="34" t="s">
        <v>73</v>
      </c>
      <c r="M9">
        <v>4.3582873490538464E-7</v>
      </c>
      <c r="N9" s="2">
        <v>435.82873490538464</v>
      </c>
      <c r="O9" s="23">
        <v>3.0077372065595098E-10</v>
      </c>
      <c r="P9">
        <v>435.83300000000003</v>
      </c>
      <c r="Q9">
        <v>4000</v>
      </c>
      <c r="R9" s="22">
        <f t="shared" ref="R9:R15" si="0">ABS(P9/1000000000-M9)/O9</f>
        <v>1.4180409798074809E-2</v>
      </c>
    </row>
    <row r="10" spans="1:19" x14ac:dyDescent="0.3">
      <c r="A10">
        <v>144</v>
      </c>
      <c r="B10">
        <v>32</v>
      </c>
      <c r="C10">
        <v>-2</v>
      </c>
      <c r="D10" s="2">
        <f>$C$1*(A10+B10/60)</f>
        <v>2.5225825455491377</v>
      </c>
      <c r="E10" s="24">
        <f>ABS($H$1*SIN(D10-$D$3)/C10)</f>
        <v>4.0478395199267665E-7</v>
      </c>
      <c r="F10" s="21">
        <f>E10*1000000000</f>
        <v>404.78395199267663</v>
      </c>
      <c r="G10" s="21">
        <f>H10*10^9</f>
        <v>1.3496762618683293</v>
      </c>
      <c r="H10" s="23">
        <f>SQRT((SIN(D10-$D$3)*$I$1/C10)^2+($H$1*COS(D10-$D$3)*$L$1/C10)^2)</f>
        <v>1.3496762618683294E-9</v>
      </c>
      <c r="I10">
        <f>H10/E10</f>
        <v>3.33431267525336E-3</v>
      </c>
      <c r="J10">
        <f>1/H10^2</f>
        <v>5.4896010130199437E+17</v>
      </c>
      <c r="K10">
        <f>J10*E10</f>
        <v>222210239291.32141</v>
      </c>
      <c r="L10" s="34" t="s">
        <v>72</v>
      </c>
      <c r="M10">
        <v>4.9228262965573481E-7</v>
      </c>
      <c r="N10" s="2">
        <v>492.28262965573481</v>
      </c>
      <c r="O10" s="23">
        <v>5.0115641181855791E-10</v>
      </c>
      <c r="P10">
        <v>491.60700000000003</v>
      </c>
      <c r="Q10">
        <v>80</v>
      </c>
      <c r="R10" s="22">
        <f t="shared" si="0"/>
        <v>1.3481412984083521</v>
      </c>
    </row>
    <row r="11" spans="1:19" x14ac:dyDescent="0.3">
      <c r="A11" s="30">
        <v>151</v>
      </c>
      <c r="B11" s="30">
        <v>44</v>
      </c>
      <c r="C11" s="30">
        <v>-3</v>
      </c>
      <c r="D11" s="31">
        <f>$C$1*(A11+B11/60)</f>
        <v>2.6482462516927292</v>
      </c>
      <c r="E11" s="32">
        <f>ABS($H$1*SIN(D11-$D$3)/C11)</f>
        <v>4.0456679718154992E-7</v>
      </c>
      <c r="F11" s="33">
        <f>E11*1000000000</f>
        <v>404.56679718154993</v>
      </c>
      <c r="G11" s="33">
        <f>H11*10^9</f>
        <v>0.8668768941993571</v>
      </c>
      <c r="H11" s="23">
        <f>SQRT((SIN(D11-$D$3)*$I$1/C11)^2+($H$1*COS(D11-$D$3)*$L$1/C11)^2)</f>
        <v>8.6687689419935713E-10</v>
      </c>
      <c r="I11">
        <f>H11/E11</f>
        <v>2.1427287168362084E-3</v>
      </c>
      <c r="J11">
        <f>1/H11^2</f>
        <v>1.3307152846204708E+18</v>
      </c>
      <c r="K11">
        <f>J11*E11</f>
        <v>538363220659.43848</v>
      </c>
      <c r="L11" s="34" t="s">
        <v>71</v>
      </c>
      <c r="M11">
        <v>4.9698091519078811E-7</v>
      </c>
      <c r="N11" s="2">
        <v>496.9809151907881</v>
      </c>
      <c r="O11" s="23">
        <v>5.0027422586182425E-10</v>
      </c>
      <c r="P11">
        <v>497.03699999999998</v>
      </c>
      <c r="Q11">
        <v>5</v>
      </c>
      <c r="R11" s="22">
        <f t="shared" si="0"/>
        <v>0.11210813252510571</v>
      </c>
    </row>
    <row r="12" spans="1:19" x14ac:dyDescent="0.3">
      <c r="J12">
        <f>SUM(J7:J11)</f>
        <v>6.4129340862622126E+18</v>
      </c>
      <c r="K12">
        <f>SUM(K7:K11)</f>
        <v>2594875974970.874</v>
      </c>
      <c r="L12" s="34" t="s">
        <v>70</v>
      </c>
      <c r="M12">
        <v>5.4603721061804069E-7</v>
      </c>
      <c r="N12" s="2">
        <v>546.03721061804072</v>
      </c>
      <c r="O12" s="23">
        <v>2.7398502216926073E-10</v>
      </c>
      <c r="P12">
        <v>546.07399999999996</v>
      </c>
      <c r="Q12">
        <v>1100</v>
      </c>
      <c r="R12" s="22">
        <f t="shared" si="0"/>
        <v>0.13427515733525738</v>
      </c>
    </row>
    <row r="13" spans="1:19" x14ac:dyDescent="0.3">
      <c r="A13" s="25" t="s">
        <v>74</v>
      </c>
      <c r="B13" s="25"/>
      <c r="C13" s="25"/>
      <c r="D13" s="25"/>
      <c r="E13" s="25"/>
      <c r="F13" s="25"/>
      <c r="G13" s="25"/>
      <c r="L13" s="34" t="s">
        <v>69</v>
      </c>
      <c r="M13">
        <v>5.7694227988460837E-7</v>
      </c>
      <c r="N13" s="2">
        <v>576.94227988460841</v>
      </c>
      <c r="O13" s="23">
        <v>2.9963583790807692E-10</v>
      </c>
      <c r="P13">
        <v>576.96</v>
      </c>
      <c r="Q13">
        <v>240</v>
      </c>
      <c r="R13" s="22">
        <f t="shared" si="0"/>
        <v>5.9138838382419498E-2</v>
      </c>
    </row>
    <row r="14" spans="1:19" x14ac:dyDescent="0.3">
      <c r="A14">
        <v>116</v>
      </c>
      <c r="B14">
        <v>40</v>
      </c>
      <c r="C14">
        <v>2</v>
      </c>
      <c r="D14" s="2">
        <f>$C$1*(A14+B14/60)</f>
        <v>2.0362174606600512</v>
      </c>
      <c r="E14" s="24">
        <f>ABS($H$1*SIN(D14-$D$3)/C14)</f>
        <v>4.0764165764116269E-7</v>
      </c>
      <c r="F14" s="21">
        <f>E14*1000000000</f>
        <v>407.64165764116268</v>
      </c>
      <c r="G14" s="21">
        <f>H14*10^9</f>
        <v>1.3491257831076588</v>
      </c>
      <c r="H14" s="23">
        <f>SQRT((SIN(D14-$D$3)*$I$1/C14)^2+($H$1*COS(D14-$D$3)*$L$1/C14)^2)</f>
        <v>1.3491257831076589E-9</v>
      </c>
      <c r="I14">
        <f>H14/E14</f>
        <v>3.3095876189750519E-3</v>
      </c>
      <c r="J14">
        <f>1/H14^2</f>
        <v>5.494081729805801E+17</v>
      </c>
      <c r="K14">
        <f>J14*E14</f>
        <v>223961658355.40631</v>
      </c>
      <c r="L14" s="34" t="s">
        <v>68</v>
      </c>
      <c r="M14">
        <v>5.7900600396706286E-7</v>
      </c>
      <c r="N14" s="2">
        <v>579.00600396706284</v>
      </c>
      <c r="O14" s="23">
        <v>2.9894965828061677E-10</v>
      </c>
      <c r="P14">
        <v>578.96600000000001</v>
      </c>
      <c r="Q14">
        <v>100</v>
      </c>
      <c r="R14" s="22">
        <f t="shared" si="0"/>
        <v>0.13381506201728227</v>
      </c>
    </row>
    <row r="15" spans="1:19" x14ac:dyDescent="0.3">
      <c r="A15">
        <v>144</v>
      </c>
      <c r="B15">
        <v>39</v>
      </c>
      <c r="C15">
        <v>-2</v>
      </c>
      <c r="D15" s="2">
        <f>$C$1*(A15+B15/60)</f>
        <v>2.5246187630097978</v>
      </c>
      <c r="E15" s="24">
        <f>ABS($H$1*SIN(D15-$D$3)/C15)</f>
        <v>4.0811782142552443E-7</v>
      </c>
      <c r="F15" s="21">
        <f>E15*1000000000</f>
        <v>408.11782142552443</v>
      </c>
      <c r="G15" s="21">
        <f>H15*10^9</f>
        <v>1.3490336615273892</v>
      </c>
      <c r="H15" s="23">
        <f>SQRT((SIN(D15-$D$3)*$I$1/C15)^2+($H$1*COS(D15-$D$3)*$L$1/C15)^2)</f>
        <v>1.3490336615273892E-9</v>
      </c>
      <c r="I15">
        <f>H15/E15</f>
        <v>3.3055004969283564E-3</v>
      </c>
      <c r="J15">
        <f>1/H15^2</f>
        <v>5.4948321051097914E+17</v>
      </c>
      <c r="K15">
        <f>J15*E15</f>
        <v>224253890783.64365</v>
      </c>
      <c r="L15" s="34" t="s">
        <v>25</v>
      </c>
      <c r="M15">
        <v>6.233439441682473E-7</v>
      </c>
      <c r="N15" s="2">
        <v>623.34394416824728</v>
      </c>
      <c r="O15" s="23">
        <v>8.2755277678447028E-10</v>
      </c>
      <c r="P15">
        <v>623.44000000000005</v>
      </c>
      <c r="Q15">
        <v>80</v>
      </c>
      <c r="R15" s="22">
        <f t="shared" si="0"/>
        <v>0.11607215206988333</v>
      </c>
    </row>
    <row r="16" spans="1:19" x14ac:dyDescent="0.3">
      <c r="A16">
        <v>151</v>
      </c>
      <c r="B16">
        <v>54</v>
      </c>
      <c r="C16">
        <v>-3</v>
      </c>
      <c r="D16" s="2">
        <f>$C$1*(A16+B16/60)</f>
        <v>2.6511551337793868</v>
      </c>
      <c r="E16" s="24">
        <f>ABS($H$1*SIN(D16-$D$3)/C16)</f>
        <v>4.0761756935210441E-7</v>
      </c>
      <c r="F16" s="21">
        <f>E16*1000000000</f>
        <v>407.6175693521044</v>
      </c>
      <c r="G16" s="21">
        <f>H16*10^9</f>
        <v>0.86596190337680523</v>
      </c>
      <c r="H16" s="23">
        <f>SQRT((SIN(D16-$D$3)*$I$1/C16)^2+($H$1*COS(D16-$D$3)*$L$1/C16)^2)</f>
        <v>8.6596190337680527E-10</v>
      </c>
      <c r="I16">
        <f>H16/E16</f>
        <v>2.1244469534353614E-3</v>
      </c>
      <c r="J16">
        <f>1/H16^2</f>
        <v>1.3335288853873964E+18</v>
      </c>
      <c r="K16">
        <f>J16*E16</f>
        <v>543569802922.43152</v>
      </c>
    </row>
    <row r="17" spans="1:18" x14ac:dyDescent="0.3">
      <c r="A17" s="30">
        <v>109</v>
      </c>
      <c r="B17" s="30">
        <v>23</v>
      </c>
      <c r="C17" s="30">
        <v>3</v>
      </c>
      <c r="D17" s="31">
        <f>$C$1*(A17+B17/60)</f>
        <v>1.9090993134731309</v>
      </c>
      <c r="E17" s="32">
        <f>ABS($H$1*SIN(D17-$D$3)/C17)</f>
        <v>4.0792245729476581E-7</v>
      </c>
      <c r="F17" s="33">
        <f>E17*1000000000</f>
        <v>407.92245729476582</v>
      </c>
      <c r="G17" s="33">
        <f>H17*10^9</f>
        <v>0.86587002987143447</v>
      </c>
      <c r="H17" s="23">
        <f>SQRT((SIN(D17-$D$3)*$I$1/C17)^2+($H$1*COS(D17-$D$3)*$L$1/C17)^2)</f>
        <v>8.6587002987143448E-10</v>
      </c>
      <c r="I17">
        <f>H17/E17</f>
        <v>2.1226338839338641E-3</v>
      </c>
      <c r="J17">
        <f>1/H17^2</f>
        <v>1.3338118896924109E+18</v>
      </c>
      <c r="K17">
        <f>J17*E17</f>
        <v>544091823612.30334</v>
      </c>
    </row>
    <row r="18" spans="1:18" x14ac:dyDescent="0.3">
      <c r="J18">
        <f>SUM(J14:J17)</f>
        <v>3.7662321585713664E+18</v>
      </c>
      <c r="K18">
        <f>SUM(K14:K17)</f>
        <v>1535877175673.7847</v>
      </c>
    </row>
    <row r="19" spans="1:18" x14ac:dyDescent="0.3">
      <c r="A19" s="25" t="s">
        <v>73</v>
      </c>
      <c r="B19" s="25"/>
      <c r="C19" s="25"/>
      <c r="D19" s="25"/>
      <c r="E19" s="25"/>
      <c r="F19" s="25"/>
      <c r="G19" s="25"/>
    </row>
    <row r="20" spans="1:18" x14ac:dyDescent="0.3">
      <c r="A20">
        <v>107</v>
      </c>
      <c r="B20">
        <v>51</v>
      </c>
      <c r="C20">
        <v>3</v>
      </c>
      <c r="D20" s="2">
        <f t="shared" ref="D20:D24" si="1">$C$1*(A20+B20/60)</f>
        <v>1.8823375982758843</v>
      </c>
      <c r="E20" s="24">
        <f t="shared" ref="E20:E24" si="2">ABS($H$1*SIN(D20-$D$3)/C20)</f>
        <v>4.3582114665353761E-7</v>
      </c>
      <c r="F20" s="21">
        <f t="shared" ref="F20:F24" si="3">E20*1000000000</f>
        <v>435.8211466535376</v>
      </c>
      <c r="G20" s="21">
        <f t="shared" ref="G20:G62" si="4">H20*10^9</f>
        <v>0.8571278436603732</v>
      </c>
      <c r="H20" s="23">
        <f>SQRT((SIN(D20-$D$3)*$I$1/C20)^2+($H$1*COS(D20-$D$3)*$L$1/C20)^2)</f>
        <v>8.5712784366037317E-10</v>
      </c>
      <c r="I20">
        <f>H20/E20</f>
        <v>1.9666963162339609E-3</v>
      </c>
      <c r="J20">
        <f>1/H20^2</f>
        <v>1.3611587940721695E+18</v>
      </c>
      <c r="K20">
        <f>J20*E20</f>
        <v>593221786410.07935</v>
      </c>
      <c r="M20" t="s">
        <v>49</v>
      </c>
      <c r="N20" t="s">
        <v>50</v>
      </c>
      <c r="O20" t="s">
        <v>5</v>
      </c>
    </row>
    <row r="21" spans="1:18" x14ac:dyDescent="0.3">
      <c r="A21">
        <v>99</v>
      </c>
      <c r="B21">
        <v>33</v>
      </c>
      <c r="C21">
        <v>4</v>
      </c>
      <c r="D21" s="2">
        <f t="shared" si="1"/>
        <v>1.7374752703603551</v>
      </c>
      <c r="E21" s="24">
        <f t="shared" si="2"/>
        <v>4.3569114806286582E-7</v>
      </c>
      <c r="F21" s="21">
        <f t="shared" si="3"/>
        <v>435.69114806286581</v>
      </c>
      <c r="G21" s="21">
        <f t="shared" si="4"/>
        <v>0.6001238316981895</v>
      </c>
      <c r="H21" s="23">
        <f>SQRT((SIN(D21-$D$3)*$I$1/C21)^2+($H$1*COS(D21-$D$3)*$L$1/C21)^2)</f>
        <v>6.0012383169818949E-10</v>
      </c>
      <c r="I21">
        <f>H21/E21</f>
        <v>1.3774065283777529E-3</v>
      </c>
      <c r="J21">
        <f>1/H21^2</f>
        <v>2.7766315428424781E+18</v>
      </c>
      <c r="K21">
        <f>J21*E21</f>
        <v>1209753784648.6057</v>
      </c>
      <c r="M21">
        <f>K25/J25</f>
        <v>4.3582873490538464E-7</v>
      </c>
      <c r="N21">
        <f>M21*1000000000</f>
        <v>435.82873490538464</v>
      </c>
      <c r="O21">
        <f>SQRT(1/J25)</f>
        <v>3.0077372065595098E-10</v>
      </c>
      <c r="P21" s="24">
        <f>ABS(Q21/10000000000-M21)/O21</f>
        <v>4.2061341416536439E-3</v>
      </c>
      <c r="Q21">
        <v>4358.3</v>
      </c>
      <c r="R21">
        <v>4000</v>
      </c>
    </row>
    <row r="22" spans="1:18" x14ac:dyDescent="0.3">
      <c r="A22">
        <v>153</v>
      </c>
      <c r="B22">
        <v>27</v>
      </c>
      <c r="C22">
        <v>-3</v>
      </c>
      <c r="D22" s="2">
        <f t="shared" si="1"/>
        <v>2.6782077371852986</v>
      </c>
      <c r="E22" s="24">
        <f t="shared" si="2"/>
        <v>4.3582114665353697E-7</v>
      </c>
      <c r="F22" s="21">
        <f t="shared" si="3"/>
        <v>435.82114665353697</v>
      </c>
      <c r="G22" s="21">
        <f t="shared" si="4"/>
        <v>0.85712784366037331</v>
      </c>
      <c r="H22" s="23">
        <f>SQRT((SIN(D22-$D$3)*$I$1/C22)^2+($H$1*COS(D22-$D$3)*$L$1/C22)^2)</f>
        <v>8.5712784366037328E-10</v>
      </c>
      <c r="I22">
        <f>H22/E22</f>
        <v>1.9666963162339639E-3</v>
      </c>
      <c r="J22">
        <f>1/H22^2</f>
        <v>1.3611587940721692E+18</v>
      </c>
      <c r="K22">
        <f>J22*E22</f>
        <v>593221786410.07837</v>
      </c>
    </row>
    <row r="23" spans="1:18" x14ac:dyDescent="0.3">
      <c r="A23">
        <v>161</v>
      </c>
      <c r="B23">
        <v>46</v>
      </c>
      <c r="C23">
        <v>-4</v>
      </c>
      <c r="D23" s="2">
        <f t="shared" si="1"/>
        <v>2.8233609533094941</v>
      </c>
      <c r="E23" s="24">
        <f t="shared" si="2"/>
        <v>4.3590122464477993E-7</v>
      </c>
      <c r="F23" s="21">
        <f t="shared" si="3"/>
        <v>435.90122464477992</v>
      </c>
      <c r="G23" s="21">
        <f t="shared" si="4"/>
        <v>0.60002620558025133</v>
      </c>
      <c r="H23" s="23">
        <f>SQRT((SIN(D23-$D$3)*$I$1/C23)^2+($H$1*COS(D23-$D$3)*$L$1/C23)^2)</f>
        <v>6.0002620558025137E-10</v>
      </c>
      <c r="I23">
        <f>H23/E23</f>
        <v>1.3765187424495502E-3</v>
      </c>
      <c r="J23">
        <f>1/H23^2</f>
        <v>2.7775351494118492E+18</v>
      </c>
      <c r="K23">
        <f>J23*E23</f>
        <v>1210730973122.5469</v>
      </c>
    </row>
    <row r="24" spans="1:18" x14ac:dyDescent="0.3">
      <c r="A24" s="30">
        <v>99</v>
      </c>
      <c r="B24" s="30">
        <v>32</v>
      </c>
      <c r="C24" s="30">
        <v>4</v>
      </c>
      <c r="D24" s="31">
        <f t="shared" si="1"/>
        <v>1.7371843821516892</v>
      </c>
      <c r="E24" s="32">
        <f t="shared" si="2"/>
        <v>4.3590122464478014E-7</v>
      </c>
      <c r="F24" s="33">
        <f t="shared" si="3"/>
        <v>435.90122464478014</v>
      </c>
      <c r="G24" s="33">
        <f t="shared" si="4"/>
        <v>0.60002620558025133</v>
      </c>
      <c r="H24" s="23">
        <f>SQRT((SIN(D24-$D$3)*$I$1/C24)^2+($H$1*COS(D24-$D$3)*$L$1/C24)^2)</f>
        <v>6.0002620558025127E-10</v>
      </c>
      <c r="I24">
        <f>H24/E24</f>
        <v>1.3765187424495493E-3</v>
      </c>
      <c r="J24">
        <f>1/H24^2</f>
        <v>2.7775351494118508E+18</v>
      </c>
      <c r="K24">
        <f>J24*E24</f>
        <v>1210730973122.5481</v>
      </c>
    </row>
    <row r="25" spans="1:18" x14ac:dyDescent="0.3">
      <c r="J25">
        <f>SUM(J20:J24)</f>
        <v>1.1054019429810516E+19</v>
      </c>
      <c r="K25">
        <f>SUM(K20:K24)</f>
        <v>4817659303713.8584</v>
      </c>
    </row>
    <row r="26" spans="1:18" x14ac:dyDescent="0.3">
      <c r="A26" s="25" t="s">
        <v>72</v>
      </c>
      <c r="B26" s="25"/>
      <c r="C26" s="25"/>
      <c r="D26" s="25"/>
      <c r="E26" s="25"/>
      <c r="F26" s="25"/>
      <c r="G26" s="25"/>
    </row>
    <row r="27" spans="1:18" x14ac:dyDescent="0.3">
      <c r="A27">
        <v>113</v>
      </c>
      <c r="B27">
        <v>41</v>
      </c>
      <c r="C27">
        <v>2</v>
      </c>
      <c r="D27" s="2">
        <f>$C$1*(A27+B27/60)</f>
        <v>1.9841484713088871</v>
      </c>
      <c r="E27" s="24">
        <f>ABS($H$1*SIN(D27-$D$3)/C27)</f>
        <v>4.9228708333919453E-7</v>
      </c>
      <c r="F27" s="21">
        <f>E27*1000000000</f>
        <v>492.28708333919451</v>
      </c>
      <c r="G27" s="21">
        <f t="shared" si="4"/>
        <v>1.3309381172816546</v>
      </c>
      <c r="H27" s="23">
        <f>SQRT((SIN(D27-$D$3)*$I$1/C27)^2+($H$1*COS(D27-$D$3)*$L$1/C27)^2)</f>
        <v>1.3309381172816546E-9</v>
      </c>
      <c r="I27">
        <f>H27/E27</f>
        <v>2.7035812279572135E-3</v>
      </c>
      <c r="J27">
        <f>1/H27^2</f>
        <v>5.64526422341504E+17</v>
      </c>
      <c r="K27">
        <f>J27*E27</f>
        <v>277909065922.4093</v>
      </c>
      <c r="M27" t="s">
        <v>49</v>
      </c>
      <c r="N27" t="s">
        <v>50</v>
      </c>
      <c r="O27" t="s">
        <v>5</v>
      </c>
    </row>
    <row r="28" spans="1:18" x14ac:dyDescent="0.3">
      <c r="A28">
        <v>104</v>
      </c>
      <c r="B28">
        <v>42</v>
      </c>
      <c r="C28">
        <v>3</v>
      </c>
      <c r="D28" s="2">
        <f t="shared" ref="D28:D30" si="5">$C$1*(A28+B28/60)</f>
        <v>1.827359726838063</v>
      </c>
      <c r="E28" s="24">
        <f t="shared" ref="E28:E30" si="6">ABS($H$1*SIN(D28-$D$3)/C28)</f>
        <v>4.9213377563188704E-7</v>
      </c>
      <c r="F28" s="21">
        <f t="shared" ref="F28:F30" si="7">E28*1000000000</f>
        <v>492.13377563188703</v>
      </c>
      <c r="G28" s="21">
        <f t="shared" si="4"/>
        <v>0.8373947205200678</v>
      </c>
      <c r="H28" s="23">
        <f>SQRT((SIN(D28-$D$3)*$I$1/C28)^2+($H$1*COS(D28-$D$3)*$L$1/C28)^2)</f>
        <v>8.3739472052006776E-10</v>
      </c>
      <c r="I28">
        <f>H28/E28</f>
        <v>1.7015591328696645E-3</v>
      </c>
      <c r="J28">
        <f>1/H28^2</f>
        <v>1.4260657943923331E+18</v>
      </c>
      <c r="K28">
        <f>J28*E28</f>
        <v>701815143693.78516</v>
      </c>
      <c r="M28">
        <f>K31/J31</f>
        <v>4.9228262965573481E-7</v>
      </c>
      <c r="N28">
        <f>M28*1000000000</f>
        <v>492.28262965573481</v>
      </c>
      <c r="O28">
        <f>SQRT(1/J31)</f>
        <v>5.0115641181855791E-10</v>
      </c>
      <c r="P28" s="24">
        <f>ABS(Q28/10000000000-M28)/O28</f>
        <v>1.3421551433293601</v>
      </c>
      <c r="Q28">
        <v>4916.1000000000004</v>
      </c>
      <c r="R28">
        <v>80</v>
      </c>
    </row>
    <row r="29" spans="1:18" x14ac:dyDescent="0.3">
      <c r="A29">
        <v>147</v>
      </c>
      <c r="B29">
        <v>37</v>
      </c>
      <c r="C29">
        <v>-2</v>
      </c>
      <c r="D29" s="2">
        <f t="shared" si="5"/>
        <v>2.5763968641522963</v>
      </c>
      <c r="E29" s="24">
        <f t="shared" si="6"/>
        <v>4.9228708333919411E-7</v>
      </c>
      <c r="F29" s="21">
        <f t="shared" si="7"/>
        <v>492.28708333919411</v>
      </c>
      <c r="G29" s="21">
        <f t="shared" si="4"/>
        <v>1.3309381172816546</v>
      </c>
      <c r="H29" s="23">
        <f>SQRT((SIN(D29-$D$3)*$I$1/C29)^2+($H$1*COS(D29-$D$3)*$L$1/C29)^2)</f>
        <v>1.3309381172816546E-9</v>
      </c>
      <c r="I29">
        <f>H29/E29</f>
        <v>2.7035812279572156E-3</v>
      </c>
      <c r="J29">
        <f>1/H29^2</f>
        <v>5.64526422341504E+17</v>
      </c>
      <c r="K29">
        <f>J29*E29</f>
        <v>277909065922.40906</v>
      </c>
    </row>
    <row r="30" spans="1:18" x14ac:dyDescent="0.3">
      <c r="A30" s="30">
        <v>156</v>
      </c>
      <c r="B30" s="30">
        <v>37</v>
      </c>
      <c r="C30" s="30">
        <v>-3</v>
      </c>
      <c r="D30" s="31">
        <f t="shared" si="5"/>
        <v>2.733476496831786</v>
      </c>
      <c r="E30" s="32">
        <f t="shared" si="6"/>
        <v>4.9242791917801794E-7</v>
      </c>
      <c r="F30" s="33">
        <f t="shared" si="7"/>
        <v>492.42791917801793</v>
      </c>
      <c r="G30" s="33">
        <f t="shared" si="4"/>
        <v>0.83728406292173474</v>
      </c>
      <c r="H30" s="23">
        <f>SQRT((SIN(D30-$D$3)*$I$1/C30)^2+($H$1*COS(D30-$D$3)*$L$1/C30)^2)</f>
        <v>8.3728406292173471E-10</v>
      </c>
      <c r="I30">
        <f>H30/E30</f>
        <v>1.7003180167350495E-3</v>
      </c>
      <c r="J30">
        <f>1/H30^2</f>
        <v>1.4264427642901681E+18</v>
      </c>
      <c r="K30">
        <f>J30*E30</f>
        <v>702420242245.94739</v>
      </c>
    </row>
    <row r="31" spans="1:18" x14ac:dyDescent="0.3">
      <c r="J31">
        <f>SUM(J27:J30)</f>
        <v>3.9815614033655091E+18</v>
      </c>
      <c r="K31">
        <f>SUM(K27:K30)</f>
        <v>1960053517784.5508</v>
      </c>
    </row>
    <row r="32" spans="1:18" x14ac:dyDescent="0.3">
      <c r="A32" s="25" t="s">
        <v>71</v>
      </c>
      <c r="B32" s="25"/>
      <c r="C32" s="25"/>
      <c r="D32" s="25"/>
      <c r="E32" s="25"/>
      <c r="F32" s="25"/>
      <c r="G32" s="25"/>
    </row>
    <row r="33" spans="1:18" x14ac:dyDescent="0.3">
      <c r="A33">
        <v>113</v>
      </c>
      <c r="B33">
        <v>31</v>
      </c>
      <c r="C33">
        <v>2</v>
      </c>
      <c r="D33" s="2">
        <f t="shared" ref="D33" si="8">$C$1*(A33+B33/60)</f>
        <v>1.9812395892222296</v>
      </c>
      <c r="E33" s="24">
        <f t="shared" ref="E33" si="9">ABS($H$1*SIN(D33-$D$3)/C33)</f>
        <v>4.969786361769496E-7</v>
      </c>
      <c r="F33" s="21">
        <f t="shared" ref="F33" si="10">E33*1000000000</f>
        <v>496.97863617694958</v>
      </c>
      <c r="G33" s="21">
        <f t="shared" si="4"/>
        <v>1.3298219369657593</v>
      </c>
      <c r="H33" s="23">
        <f>SQRT((SIN(D33-$D$3)*$I$1/C33)^2+($H$1*COS(D33-$D$3)*$L$1/C33)^2)</f>
        <v>1.3298219369657593E-9</v>
      </c>
      <c r="I33">
        <f>H33/E33</f>
        <v>2.675813083627754E-3</v>
      </c>
      <c r="J33">
        <f>1/H33^2</f>
        <v>5.654744856939449E+17</v>
      </c>
      <c r="K33">
        <f>J33*E33</f>
        <v>281028738693.03876</v>
      </c>
      <c r="M33" t="s">
        <v>49</v>
      </c>
      <c r="N33" t="s">
        <v>50</v>
      </c>
      <c r="O33" t="s">
        <v>5</v>
      </c>
    </row>
    <row r="34" spans="1:18" x14ac:dyDescent="0.3">
      <c r="A34">
        <v>104</v>
      </c>
      <c r="B34">
        <v>25</v>
      </c>
      <c r="C34">
        <v>3</v>
      </c>
      <c r="D34" s="2">
        <f t="shared" ref="D34:D36" si="11">$C$1*(A34+B34/60)</f>
        <v>1.8224146272907458</v>
      </c>
      <c r="E34" s="24">
        <f t="shared" ref="E34:E36" si="12">ABS($H$1*SIN(D34-$D$3)/C34)</f>
        <v>4.9712853225544738E-7</v>
      </c>
      <c r="F34" s="21">
        <f t="shared" ref="F34:F36" si="13">E34*1000000000</f>
        <v>497.1285322554474</v>
      </c>
      <c r="G34" s="21">
        <f t="shared" si="4"/>
        <v>0.83550470024803369</v>
      </c>
      <c r="H34" s="23">
        <f>SQRT((SIN(D34-$D$3)*$I$1/C34)^2+($H$1*COS(D34-$D$3)*$L$1/C34)^2)</f>
        <v>8.3550470024803373E-10</v>
      </c>
      <c r="I34">
        <f>H34/E34</f>
        <v>1.6806613300938301E-3</v>
      </c>
      <c r="J34">
        <f>1/H34^2</f>
        <v>1.4325249844166766E+18</v>
      </c>
      <c r="K34">
        <f>J34*E34</f>
        <v>712149042922.32007</v>
      </c>
      <c r="M34">
        <f>K37/J37</f>
        <v>4.9698091519078811E-7</v>
      </c>
      <c r="N34">
        <f>M34*1000000000</f>
        <v>496.9809151907881</v>
      </c>
      <c r="O34">
        <f>SQRT(1/J37)</f>
        <v>5.0027422586182425E-10</v>
      </c>
      <c r="P34" s="24">
        <f>ABS(Q34/10000000000-M34)/O34</f>
        <v>0.11210813252531736</v>
      </c>
      <c r="Q34">
        <v>4970.37</v>
      </c>
      <c r="R34">
        <v>5</v>
      </c>
    </row>
    <row r="35" spans="1:18" x14ac:dyDescent="0.3">
      <c r="A35">
        <v>156</v>
      </c>
      <c r="B35">
        <v>52</v>
      </c>
      <c r="C35">
        <v>-3</v>
      </c>
      <c r="D35" s="2">
        <f t="shared" si="11"/>
        <v>2.7378398199617719</v>
      </c>
      <c r="E35" s="24">
        <f t="shared" si="12"/>
        <v>4.9683505836971555E-7</v>
      </c>
      <c r="F35" s="21">
        <f t="shared" si="13"/>
        <v>496.83505836971557</v>
      </c>
      <c r="G35" s="21">
        <f t="shared" si="4"/>
        <v>0.83561639750704275</v>
      </c>
      <c r="H35" s="23">
        <f>SQRT((SIN(D35-$D$3)*$I$1/C35)^2+($H$1*COS(D35-$D$3)*$L$1/C35)^2)</f>
        <v>8.356163975070427E-10</v>
      </c>
      <c r="I35">
        <f>H35/E35</f>
        <v>1.6818788920592354E-3</v>
      </c>
      <c r="J35">
        <f>1/H35^2</f>
        <v>1.4321420373599898E+18</v>
      </c>
      <c r="K35">
        <f>J35*E35</f>
        <v>711538372725.47388</v>
      </c>
    </row>
    <row r="36" spans="1:18" x14ac:dyDescent="0.3">
      <c r="A36" s="30">
        <v>147</v>
      </c>
      <c r="B36" s="30">
        <v>47</v>
      </c>
      <c r="C36" s="30">
        <v>-2</v>
      </c>
      <c r="D36" s="31">
        <f t="shared" si="11"/>
        <v>2.5793057462389535</v>
      </c>
      <c r="E36" s="32">
        <f t="shared" si="12"/>
        <v>4.9697863617694886E-7</v>
      </c>
      <c r="F36" s="33">
        <f t="shared" si="13"/>
        <v>496.97863617694884</v>
      </c>
      <c r="G36" s="33">
        <f t="shared" si="4"/>
        <v>1.3298219369657596</v>
      </c>
      <c r="H36" s="23">
        <f>SQRT((SIN(D36-$D$3)*$I$1/C36)^2+($H$1*COS(D36-$D$3)*$L$1/C36)^2)</f>
        <v>1.3298219369657595E-9</v>
      </c>
      <c r="I36">
        <f>H36/E36</f>
        <v>2.6758130836277588E-3</v>
      </c>
      <c r="J36">
        <f>1/H36^2</f>
        <v>5.6547448569394477E+17</v>
      </c>
      <c r="K36">
        <f>J36*E36</f>
        <v>281028738693.03827</v>
      </c>
    </row>
    <row r="37" spans="1:18" x14ac:dyDescent="0.3">
      <c r="J37">
        <f>SUM(J33:J36)</f>
        <v>3.9956159931645563E+18</v>
      </c>
      <c r="K37">
        <f>SUM(K33:K36)</f>
        <v>1985744893033.8711</v>
      </c>
    </row>
    <row r="38" spans="1:18" x14ac:dyDescent="0.3">
      <c r="A38" s="25" t="s">
        <v>70</v>
      </c>
      <c r="B38" s="25"/>
      <c r="C38" s="25"/>
      <c r="D38" s="25"/>
      <c r="E38" s="25"/>
      <c r="F38" s="25"/>
      <c r="G38" s="25"/>
    </row>
    <row r="39" spans="1:18" x14ac:dyDescent="0.3">
      <c r="A39">
        <v>101</v>
      </c>
      <c r="B39">
        <v>36</v>
      </c>
      <c r="C39">
        <v>3</v>
      </c>
      <c r="D39" s="2">
        <f t="shared" ref="D39:D43" si="14">$C$1*(A39+B39/60)</f>
        <v>1.7732545200262386</v>
      </c>
      <c r="E39" s="24">
        <f t="shared" ref="E39:E43" si="15">ABS($H$1*SIN(D39-$D$3)/C39)</f>
        <v>5.4610150367602049E-7</v>
      </c>
      <c r="F39" s="21">
        <f t="shared" ref="F39:F43" si="16">E39*1000000000</f>
        <v>546.10150367602046</v>
      </c>
      <c r="G39" s="21">
        <f t="shared" si="4"/>
        <v>0.81570563720306388</v>
      </c>
      <c r="H39" s="23">
        <f>SQRT((SIN(D39-$D$3)*$I$1/C39)^2+($H$1*COS(D39-$D$3)*$L$1/C39)^2)</f>
        <v>8.157056372030639E-10</v>
      </c>
      <c r="I39">
        <f>H39/E39</f>
        <v>1.4936886855506416E-3</v>
      </c>
      <c r="J39">
        <f>1/H39^2</f>
        <v>1.5029103410175877E+18</v>
      </c>
      <c r="K39">
        <f>J39*E39</f>
        <v>820741597119.94543</v>
      </c>
      <c r="M39" t="s">
        <v>49</v>
      </c>
      <c r="N39" t="s">
        <v>50</v>
      </c>
      <c r="O39" t="s">
        <v>5</v>
      </c>
    </row>
    <row r="40" spans="1:18" x14ac:dyDescent="0.3">
      <c r="A40">
        <v>90</v>
      </c>
      <c r="B40">
        <v>18</v>
      </c>
      <c r="C40">
        <v>4</v>
      </c>
      <c r="D40" s="2">
        <f t="shared" si="14"/>
        <v>1.5760323145508794</v>
      </c>
      <c r="E40" s="24">
        <f t="shared" si="15"/>
        <v>5.461224558625096E-7</v>
      </c>
      <c r="F40" s="21">
        <f t="shared" si="16"/>
        <v>546.12245586250958</v>
      </c>
      <c r="G40" s="21">
        <f t="shared" si="4"/>
        <v>0.53923002364127615</v>
      </c>
      <c r="H40" s="23">
        <f>SQRT((SIN(D40-$D$3)*$I$1/C40)^2+($H$1*COS(D40-$D$3)*$L$1/C40)^2)</f>
        <v>5.3923002364127614E-10</v>
      </c>
      <c r="I40">
        <f>H40/E40</f>
        <v>9.8737932830403764E-4</v>
      </c>
      <c r="J40">
        <f>1/H40^2</f>
        <v>3.4391559510563313E+18</v>
      </c>
      <c r="K40">
        <f>J40*E40</f>
        <v>1878200294085.0486</v>
      </c>
      <c r="M40">
        <f>K44/J44</f>
        <v>5.4603721061804069E-7</v>
      </c>
      <c r="N40">
        <f>M40*1000000000</f>
        <v>546.03721061804072</v>
      </c>
      <c r="O40">
        <f>SQRT(1/J44)</f>
        <v>2.7398502216926073E-10</v>
      </c>
      <c r="P40" s="24">
        <f>ABS(Q40/10000000000-M40)/O40</f>
        <v>0.11967581913664067</v>
      </c>
      <c r="Q40">
        <v>5460.7</v>
      </c>
      <c r="R40">
        <v>1100</v>
      </c>
    </row>
    <row r="41" spans="1:18" x14ac:dyDescent="0.3">
      <c r="A41">
        <v>159</v>
      </c>
      <c r="B41">
        <v>41</v>
      </c>
      <c r="C41">
        <v>-3</v>
      </c>
      <c r="D41" s="2">
        <f t="shared" si="14"/>
        <v>2.7869999272262787</v>
      </c>
      <c r="E41" s="24">
        <f t="shared" si="15"/>
        <v>5.4581548836541053E-7</v>
      </c>
      <c r="F41" s="21">
        <f t="shared" si="16"/>
        <v>545.81548836541049</v>
      </c>
      <c r="G41" s="21">
        <f t="shared" si="4"/>
        <v>0.81582812514576863</v>
      </c>
      <c r="H41" s="23">
        <f>SQRT((SIN(D41-$D$3)*$I$1/C41)^2+($H$1*COS(D41-$D$3)*$L$1/C41)^2)</f>
        <v>8.1582812514576865E-10</v>
      </c>
      <c r="I41">
        <f>H41/E41</f>
        <v>1.4946958130282867E-3</v>
      </c>
      <c r="J41">
        <f>1/H41^2</f>
        <v>1.5024590827914811E+18</v>
      </c>
      <c r="K41">
        <f>J41*E41</f>
        <v>820065438022.87903</v>
      </c>
    </row>
    <row r="42" spans="1:18" x14ac:dyDescent="0.3">
      <c r="A42">
        <v>171</v>
      </c>
      <c r="B42">
        <v>0</v>
      </c>
      <c r="C42">
        <v>-4</v>
      </c>
      <c r="D42" s="2">
        <f t="shared" si="14"/>
        <v>2.9845130209103035</v>
      </c>
      <c r="E42" s="24">
        <f t="shared" si="15"/>
        <v>5.4612245586250907E-7</v>
      </c>
      <c r="F42" s="21">
        <f t="shared" si="16"/>
        <v>546.12245586250901</v>
      </c>
      <c r="G42" s="21">
        <f t="shared" si="4"/>
        <v>0.53923002364127648</v>
      </c>
      <c r="H42" s="23">
        <f>SQRT((SIN(D42-$D$3)*$I$1/C42)^2+($H$1*COS(D42-$D$3)*$L$1/C42)^2)</f>
        <v>5.3923002364127645E-10</v>
      </c>
      <c r="I42">
        <f>H42/E42</f>
        <v>9.8737932830403915E-4</v>
      </c>
      <c r="J42">
        <f>1/H42^2</f>
        <v>3.4391559510563272E+18</v>
      </c>
      <c r="K42">
        <f>J42*E42</f>
        <v>1878200294085.0444</v>
      </c>
    </row>
    <row r="43" spans="1:18" x14ac:dyDescent="0.3">
      <c r="A43" s="30">
        <v>90</v>
      </c>
      <c r="B43" s="30">
        <v>19</v>
      </c>
      <c r="C43" s="30">
        <v>4</v>
      </c>
      <c r="D43" s="31">
        <f t="shared" si="14"/>
        <v>1.5763232027595453</v>
      </c>
      <c r="E43" s="32">
        <f t="shared" si="15"/>
        <v>5.4593544183798871E-7</v>
      </c>
      <c r="F43" s="33">
        <f t="shared" si="16"/>
        <v>545.93544183798872</v>
      </c>
      <c r="G43" s="33">
        <f t="shared" si="4"/>
        <v>0.53935118872552335</v>
      </c>
      <c r="H43" s="23">
        <f>SQRT((SIN(D43-$D$3)*$I$1/C43)^2+($H$1*COS(D43-$D$3)*$L$1/C43)^2)</f>
        <v>5.3935118872552336E-10</v>
      </c>
      <c r="I43">
        <f>H43/E43</f>
        <v>9.8793950235159995E-4</v>
      </c>
      <c r="J43">
        <f>1/H43^2</f>
        <v>3.4376109138973814E+18</v>
      </c>
      <c r="K43">
        <f>J43*E43</f>
        <v>1876713633145.6592</v>
      </c>
    </row>
    <row r="44" spans="1:18" x14ac:dyDescent="0.3">
      <c r="J44">
        <f>SUM(J39:J43)</f>
        <v>1.3321292239819108E+19</v>
      </c>
      <c r="K44">
        <f>SUM(K39:K43)</f>
        <v>7273921256458.5771</v>
      </c>
    </row>
    <row r="45" spans="1:18" x14ac:dyDescent="0.3">
      <c r="A45" s="25" t="s">
        <v>69</v>
      </c>
      <c r="B45" s="25"/>
      <c r="C45" s="25"/>
      <c r="D45" s="25"/>
      <c r="E45" s="25"/>
      <c r="F45" s="25"/>
      <c r="G45" s="25"/>
    </row>
    <row r="46" spans="1:18" x14ac:dyDescent="0.3">
      <c r="A46">
        <v>110</v>
      </c>
      <c r="B46">
        <v>39</v>
      </c>
      <c r="C46">
        <v>2</v>
      </c>
      <c r="D46" s="2">
        <f>$C$1*(A46+B46/60)</f>
        <v>1.9312068173317258</v>
      </c>
      <c r="E46" s="24">
        <f>ABS($H$1*SIN(D46-$D$3)/C46)</f>
        <v>5.7698173797671472E-7</v>
      </c>
      <c r="F46" s="21">
        <f>E46*1000000000</f>
        <v>576.98173797671473</v>
      </c>
      <c r="G46" s="21">
        <f t="shared" si="4"/>
        <v>1.3089867366910239</v>
      </c>
      <c r="H46" s="23">
        <f>SQRT((SIN(D46-$D$3)*$I$1/C46)^2+($H$1*COS(D46-$D$3)*$L$1/C46)^2)</f>
        <v>1.308986736691024E-9</v>
      </c>
      <c r="I46">
        <f>H46/E46</f>
        <v>2.2686796661558306E-3</v>
      </c>
      <c r="J46">
        <f>1/H46^2</f>
        <v>5.8361911518364749E+17</v>
      </c>
      <c r="K46">
        <f>J46*E46</f>
        <v>336737571395.09338</v>
      </c>
      <c r="M46" t="s">
        <v>49</v>
      </c>
      <c r="N46" t="s">
        <v>50</v>
      </c>
      <c r="O46" t="s">
        <v>5</v>
      </c>
      <c r="Q46">
        <v>5769.6</v>
      </c>
      <c r="R46">
        <v>240</v>
      </c>
    </row>
    <row r="47" spans="1:18" x14ac:dyDescent="0.3">
      <c r="A47">
        <v>99</v>
      </c>
      <c r="B47">
        <v>47</v>
      </c>
      <c r="C47">
        <v>3</v>
      </c>
      <c r="D47" s="2">
        <f t="shared" ref="D47:D50" si="17">$C$1*(A47+B47/60)</f>
        <v>1.7415477052816752</v>
      </c>
      <c r="E47" s="24">
        <f t="shared" ref="E47:E50" si="18">ABS($H$1*SIN(D47-$D$3)/C47)</f>
        <v>5.7699495071417068E-7</v>
      </c>
      <c r="F47" s="21">
        <f t="shared" ref="F47:F50" si="19">E47*1000000000</f>
        <v>576.99495071417073</v>
      </c>
      <c r="G47" s="21">
        <f t="shared" si="4"/>
        <v>0.80198104292325711</v>
      </c>
      <c r="H47" s="23">
        <f>SQRT((SIN(D47-$D$3)*$I$1/C47)^2+($H$1*COS(D47-$D$3)*$L$1/C47)^2)</f>
        <v>8.0198104292325715E-10</v>
      </c>
      <c r="I47">
        <f>H47/E47</f>
        <v>1.3899273155347578E-3</v>
      </c>
      <c r="J47">
        <f>1/H47^2</f>
        <v>1.5547902005923551E+18</v>
      </c>
      <c r="K47">
        <f>J47*E47</f>
        <v>897106095161.6615</v>
      </c>
      <c r="M47">
        <f>K51/J51</f>
        <v>5.7694227988460837E-7</v>
      </c>
      <c r="N47">
        <f>M47*1000000000</f>
        <v>576.94227988460841</v>
      </c>
      <c r="O47">
        <f>SQRT(1/J51)</f>
        <v>2.9963583790807692E-10</v>
      </c>
      <c r="P47" s="24">
        <f>ABS(Q46/10000000000-M47)/O47</f>
        <v>5.9138838382419498E-2</v>
      </c>
    </row>
    <row r="48" spans="1:18" x14ac:dyDescent="0.3">
      <c r="A48">
        <v>87</v>
      </c>
      <c r="B48">
        <v>30</v>
      </c>
      <c r="C48">
        <v>4</v>
      </c>
      <c r="D48" s="2">
        <f t="shared" si="17"/>
        <v>1.5271630954950384</v>
      </c>
      <c r="E48" s="24">
        <f t="shared" si="18"/>
        <v>5.7687243300356123E-7</v>
      </c>
      <c r="F48" s="21">
        <f t="shared" si="19"/>
        <v>576.87243300356124</v>
      </c>
      <c r="G48" s="21">
        <f t="shared" si="4"/>
        <v>0.51833582798547484</v>
      </c>
      <c r="H48" s="23">
        <f>SQRT((SIN(D48-$D$3)*$I$1/C48)^2+($H$1*COS(D48-$D$3)*$L$1/C48)^2)</f>
        <v>5.1833582798547485E-10</v>
      </c>
      <c r="I48">
        <f>H48/E48</f>
        <v>8.9852764377505799E-4</v>
      </c>
      <c r="J48">
        <f>1/H48^2</f>
        <v>3.722010057637354E+18</v>
      </c>
      <c r="K48">
        <f>J48*E48</f>
        <v>2147124997612.9856</v>
      </c>
    </row>
    <row r="49" spans="1:18" x14ac:dyDescent="0.3">
      <c r="A49">
        <v>161</v>
      </c>
      <c r="B49">
        <v>31</v>
      </c>
      <c r="C49">
        <v>-3</v>
      </c>
      <c r="D49" s="2">
        <f t="shared" si="17"/>
        <v>2.8189976301795081</v>
      </c>
      <c r="E49" s="24">
        <f t="shared" si="18"/>
        <v>5.7699495071417047E-7</v>
      </c>
      <c r="F49" s="21">
        <f t="shared" si="19"/>
        <v>576.9949507141705</v>
      </c>
      <c r="G49" s="21">
        <f t="shared" si="4"/>
        <v>0.80198104292325734</v>
      </c>
      <c r="H49" s="23">
        <f>SQRT((SIN(D49-$D$3)*$I$1/C49)^2+($H$1*COS(D49-$D$3)*$L$1/C49)^2)</f>
        <v>8.0198104292325736E-10</v>
      </c>
      <c r="I49">
        <f>H49/E49</f>
        <v>1.3899273155347587E-3</v>
      </c>
      <c r="J49">
        <f>1/H49^2</f>
        <v>1.554790200592354E+18</v>
      </c>
      <c r="K49">
        <f>J49*E49</f>
        <v>897106095161.66052</v>
      </c>
    </row>
    <row r="50" spans="1:18" x14ac:dyDescent="0.3">
      <c r="A50" s="30">
        <v>173</v>
      </c>
      <c r="B50" s="30">
        <v>48.5</v>
      </c>
      <c r="C50" s="30">
        <v>-4</v>
      </c>
      <c r="D50" s="31">
        <f t="shared" si="17"/>
        <v>3.0335276840704775</v>
      </c>
      <c r="E50" s="32">
        <f t="shared" si="18"/>
        <v>5.7696193059038896E-7</v>
      </c>
      <c r="F50" s="33">
        <f t="shared" si="19"/>
        <v>576.96193059038899</v>
      </c>
      <c r="G50" s="33">
        <f t="shared" si="4"/>
        <v>0.51827208230298738</v>
      </c>
      <c r="H50" s="23">
        <f>SQRT((SIN(D50-$D$3)*$I$1/C50)^2+($H$1*COS(D50-$D$3)*$L$1/C50)^2)</f>
        <v>5.1827208230298743E-10</v>
      </c>
      <c r="I50">
        <f>H50/E50</f>
        <v>8.9827778025606327E-4</v>
      </c>
      <c r="J50">
        <f>1/H50^2</f>
        <v>3.722925702800041E+18</v>
      </c>
      <c r="K50">
        <f>J50*E50</f>
        <v>2147986400932.0923</v>
      </c>
    </row>
    <row r="51" spans="1:18" x14ac:dyDescent="0.3">
      <c r="J51">
        <f>SUM(J46:J50)</f>
        <v>1.1138135276805751E+19</v>
      </c>
      <c r="K51">
        <f>SUM(K46:K50)</f>
        <v>6426061160263.4932</v>
      </c>
    </row>
    <row r="52" spans="1:18" x14ac:dyDescent="0.3">
      <c r="A52" s="25" t="s">
        <v>68</v>
      </c>
      <c r="B52" s="25"/>
      <c r="C52" s="25"/>
      <c r="D52" s="25"/>
      <c r="E52" s="25"/>
      <c r="F52" s="25"/>
      <c r="G52" s="25"/>
    </row>
    <row r="53" spans="1:18" x14ac:dyDescent="0.3">
      <c r="A53">
        <v>110</v>
      </c>
      <c r="B53">
        <v>36</v>
      </c>
      <c r="C53">
        <v>2</v>
      </c>
      <c r="D53" s="2">
        <f>$C$1*(A53+B53/60)</f>
        <v>1.9303341527057283</v>
      </c>
      <c r="E53" s="24">
        <f>ABS($H$1*SIN(D53-$D$3)/C53)</f>
        <v>5.7836490472392846E-7</v>
      </c>
      <c r="F53" s="21">
        <f>E53*1000000000</f>
        <v>578.36490472392848</v>
      </c>
      <c r="G53" s="21">
        <f t="shared" si="4"/>
        <v>1.3085960785178867</v>
      </c>
      <c r="H53" s="23">
        <f>SQRT((SIN(D53-$D$3)*$I$1/C53)^2+($H$1*COS(D53-$D$3)*$L$1/C53)^2)</f>
        <v>1.3085960785178866E-9</v>
      </c>
      <c r="I53">
        <f>H53/E53</f>
        <v>2.2625786382085549E-3</v>
      </c>
      <c r="J53">
        <f>1/H53^2</f>
        <v>5.8396762548886541E+17</v>
      </c>
      <c r="K53">
        <f>J53*E53</f>
        <v>337746380077.72638</v>
      </c>
      <c r="M53" t="s">
        <v>49</v>
      </c>
      <c r="N53" t="s">
        <v>50</v>
      </c>
      <c r="O53" t="s">
        <v>5</v>
      </c>
    </row>
    <row r="54" spans="1:18" x14ac:dyDescent="0.3">
      <c r="A54">
        <v>99</v>
      </c>
      <c r="B54">
        <v>40</v>
      </c>
      <c r="C54">
        <v>3</v>
      </c>
      <c r="D54" s="2">
        <f t="shared" ref="D54:D57" si="20">$C$1*(A54+B54/60)</f>
        <v>1.7395114878210152</v>
      </c>
      <c r="E54" s="24">
        <f>ABS($H$1*SIN(D54-$D$3)/C54)</f>
        <v>5.7895944096738979E-7</v>
      </c>
      <c r="F54" s="21">
        <f t="shared" ref="F54:F57" si="21">E54*1000000000</f>
        <v>578.95944096738981</v>
      </c>
      <c r="G54" s="21">
        <f t="shared" si="4"/>
        <v>0.80107457490359746</v>
      </c>
      <c r="H54" s="23">
        <f>SQRT((SIN(D54-$D$3)*$I$1/C54)^2+($H$1*COS(D54-$D$3)*$L$1/C54)^2)</f>
        <v>8.0107457490359749E-10</v>
      </c>
      <c r="I54">
        <f>H54/E54</f>
        <v>1.3836454131658567E-3</v>
      </c>
      <c r="J54">
        <f>1/H54^2</f>
        <v>1.5583108840190331E+18</v>
      </c>
      <c r="K54">
        <f>J54*E54</f>
        <v>902198798265.05835</v>
      </c>
      <c r="M54">
        <f>K58/J58</f>
        <v>5.7900600396706286E-7</v>
      </c>
      <c r="N54">
        <f>M54*1000000000</f>
        <v>579.00600396706284</v>
      </c>
      <c r="O54">
        <f>SQRT(1/J58)</f>
        <v>2.9894965828061677E-10</v>
      </c>
      <c r="P54" s="24">
        <f>ABS(Q54/10000000000-M54)/O54</f>
        <v>0.12043488281584015</v>
      </c>
      <c r="Q54">
        <v>5789.7</v>
      </c>
      <c r="R54">
        <v>100</v>
      </c>
    </row>
    <row r="55" spans="1:18" x14ac:dyDescent="0.3">
      <c r="A55">
        <v>87</v>
      </c>
      <c r="B55">
        <v>18</v>
      </c>
      <c r="C55">
        <v>4</v>
      </c>
      <c r="D55" s="2">
        <f t="shared" si="20"/>
        <v>1.5236724369910497</v>
      </c>
      <c r="E55" s="24">
        <f>ABS($H$1*SIN(D55-$D$3)/C55)</f>
        <v>5.7901700266626419E-7</v>
      </c>
      <c r="F55" s="21">
        <f t="shared" si="21"/>
        <v>579.01700266626415</v>
      </c>
      <c r="G55" s="21">
        <f t="shared" si="4"/>
        <v>0.51680344201449213</v>
      </c>
      <c r="H55" s="23">
        <f>SQRT((SIN(D55-$D$3)*$I$1/C55)^2+($H$1*COS(D55-$D$3)*$L$1/C55)^2)</f>
        <v>5.1680344201449212E-10</v>
      </c>
      <c r="I55">
        <f>H55/E55</f>
        <v>8.9255313684176744E-4</v>
      </c>
      <c r="J55">
        <f>1/H55^2</f>
        <v>3.7441152195052534E+18</v>
      </c>
      <c r="K55">
        <f>J55*E55</f>
        <v>2167906372035.0737</v>
      </c>
    </row>
    <row r="56" spans="1:18" x14ac:dyDescent="0.3">
      <c r="A56">
        <v>161</v>
      </c>
      <c r="B56">
        <v>39</v>
      </c>
      <c r="C56">
        <v>-3</v>
      </c>
      <c r="D56" s="2">
        <f t="shared" si="20"/>
        <v>2.821324735848834</v>
      </c>
      <c r="E56" s="24">
        <f>ABS($H$1*SIN(D56-$D$3)/C56)</f>
        <v>5.7923988666524046E-7</v>
      </c>
      <c r="F56" s="21">
        <f t="shared" si="21"/>
        <v>579.23988666524042</v>
      </c>
      <c r="G56" s="21">
        <f t="shared" si="4"/>
        <v>0.80094483462788546</v>
      </c>
      <c r="H56" s="23">
        <f>SQRT((SIN(D56-$D$3)*$I$1/C56)^2+($H$1*COS(D56-$D$3)*$L$1/C56)^2)</f>
        <v>8.0094483462788542E-10</v>
      </c>
      <c r="I56">
        <f>H56/E56</f>
        <v>1.3827515215484023E-3</v>
      </c>
      <c r="J56">
        <f>1/H56^2</f>
        <v>1.5588157678752305E+18</v>
      </c>
      <c r="K56">
        <f>J56*E56</f>
        <v>902928268716.03833</v>
      </c>
    </row>
    <row r="57" spans="1:18" x14ac:dyDescent="0.3">
      <c r="A57" s="30">
        <v>174</v>
      </c>
      <c r="B57" s="30">
        <v>0</v>
      </c>
      <c r="C57" s="30">
        <v>-4</v>
      </c>
      <c r="D57" s="31">
        <f t="shared" si="20"/>
        <v>3.0368728984701332</v>
      </c>
      <c r="E57" s="32">
        <f>ABS($H$1*SIN(D57-$D$3)/C57)</f>
        <v>5.7901700266626376E-7</v>
      </c>
      <c r="F57" s="33">
        <f t="shared" si="21"/>
        <v>579.01700266626381</v>
      </c>
      <c r="G57" s="33">
        <f t="shared" si="4"/>
        <v>0.51680344201449246</v>
      </c>
      <c r="H57" s="23">
        <f>SQRT((SIN(D57-$D$3)*$I$1/C57)^2+($H$1*COS(D57-$D$3)*$L$1/C57)^2)</f>
        <v>5.1680344201449244E-10</v>
      </c>
      <c r="I57">
        <f>H57/E57</f>
        <v>8.9255313684176863E-4</v>
      </c>
      <c r="J57">
        <f>1/H57^2</f>
        <v>3.7441152195052493E+18</v>
      </c>
      <c r="K57">
        <f>J57*E57</f>
        <v>2167906372035.0696</v>
      </c>
    </row>
    <row r="58" spans="1:18" x14ac:dyDescent="0.3">
      <c r="J58">
        <f>SUM(J53:J57)</f>
        <v>1.1189324716393632E+19</v>
      </c>
      <c r="K58">
        <f>SUM(K53:K57)</f>
        <v>6478686191128.9658</v>
      </c>
    </row>
    <row r="59" spans="1:18" x14ac:dyDescent="0.3">
      <c r="A59" s="25" t="s">
        <v>25</v>
      </c>
      <c r="B59" s="25"/>
      <c r="C59" s="25"/>
      <c r="D59" s="25"/>
      <c r="E59" s="25"/>
      <c r="F59" s="25"/>
      <c r="G59" s="25"/>
      <c r="M59" t="s">
        <v>49</v>
      </c>
      <c r="N59" t="s">
        <v>50</v>
      </c>
      <c r="O59" t="s">
        <v>5</v>
      </c>
    </row>
    <row r="60" spans="1:18" x14ac:dyDescent="0.3">
      <c r="A60">
        <v>120</v>
      </c>
      <c r="B60">
        <v>0</v>
      </c>
      <c r="C60">
        <v>1</v>
      </c>
      <c r="D60" s="2">
        <f>$C$1*(A60+B60/60)</f>
        <v>2.0943951023931953</v>
      </c>
      <c r="E60" s="24">
        <f>ABS($H$1*SIN(D60-$D$3)/C60)</f>
        <v>6.23538998434183E-7</v>
      </c>
      <c r="F60" s="21">
        <f>E60*1000000000</f>
        <v>623.53899843418299</v>
      </c>
      <c r="G60" s="21">
        <f t="shared" si="4"/>
        <v>2.7307691796009541</v>
      </c>
      <c r="H60" s="23">
        <f>SQRT((SIN(D60-$D$3)*$I$1/C60)^2+($H$1*COS(D60-$D$3)*$L$1/C60)^2)</f>
        <v>2.7307691796009542E-9</v>
      </c>
      <c r="I60">
        <f>H60/E60</f>
        <v>4.3794681430646678E-3</v>
      </c>
      <c r="J60">
        <f>1/H60^2</f>
        <v>1.3410038193480309E+17</v>
      </c>
      <c r="K60">
        <f>J60*E60</f>
        <v>83616817841.268524</v>
      </c>
      <c r="M60">
        <f>K64/J64</f>
        <v>6.233439441682473E-7</v>
      </c>
      <c r="N60">
        <f>M60*1000000000</f>
        <v>623.34394416824728</v>
      </c>
      <c r="O60">
        <f>SQRT(1/J64)</f>
        <v>8.2755277678447028E-10</v>
      </c>
      <c r="P60" s="24">
        <f>ABS(Q60/10000000000-M60)/O60</f>
        <v>0.12815597352573571</v>
      </c>
      <c r="Q60">
        <v>6234.5</v>
      </c>
      <c r="R60">
        <v>80</v>
      </c>
    </row>
    <row r="61" spans="1:18" x14ac:dyDescent="0.3">
      <c r="A61">
        <v>108</v>
      </c>
      <c r="B61">
        <v>58</v>
      </c>
      <c r="C61">
        <v>2</v>
      </c>
      <c r="D61" s="2">
        <f>$C$1*(A61+B61/60)</f>
        <v>1.9018271082564877</v>
      </c>
      <c r="E61" s="24">
        <f>ABS($H$1*SIN(D61-$D$3)/C61)</f>
        <v>6.2330005634173599E-7</v>
      </c>
      <c r="F61" s="21">
        <f>E61*1000000000</f>
        <v>623.30005634173597</v>
      </c>
      <c r="G61" s="21">
        <f t="shared" si="4"/>
        <v>1.2953266562306891</v>
      </c>
      <c r="H61" s="23">
        <f>SQRT((SIN(D61-$D$3)*$I$1/C61)^2+($H$1*COS(D61-$D$3)*$L$1/C61)^2)</f>
        <v>1.295326656230689E-9</v>
      </c>
      <c r="I61">
        <f>H61/E61</f>
        <v>2.0781750988973146E-3</v>
      </c>
      <c r="J61">
        <f>1/H61^2</f>
        <v>5.9599332295586355E+17</v>
      </c>
      <c r="K61">
        <f>J61*E61</f>
        <v>371482671777.68823</v>
      </c>
    </row>
    <row r="62" spans="1:18" x14ac:dyDescent="0.3">
      <c r="A62">
        <v>141</v>
      </c>
      <c r="B62">
        <v>18</v>
      </c>
      <c r="C62">
        <v>-1</v>
      </c>
      <c r="D62" s="2">
        <f>$C$1*(A62+B62/60)</f>
        <v>2.4661502330679879</v>
      </c>
      <c r="E62" s="24">
        <f>ABS($H$1*SIN(D62-$D$3)/C62)</f>
        <v>6.2353899843418141E-7</v>
      </c>
      <c r="F62" s="21">
        <f>E62*1000000000</f>
        <v>623.53899843418139</v>
      </c>
      <c r="G62" s="21">
        <f t="shared" si="4"/>
        <v>2.7307691796009541</v>
      </c>
      <c r="H62" s="23">
        <f>SQRT((SIN(D62-$D$3)*$I$1/C62)^2+($H$1*COS(D62-$D$3)*$L$1/C62)^2)</f>
        <v>2.7307691796009542E-9</v>
      </c>
      <c r="I62">
        <f t="shared" ref="I62:I63" si="22">H62/E62</f>
        <v>4.3794681430646791E-3</v>
      </c>
      <c r="J62">
        <f>1/H62^2</f>
        <v>1.3410038193480309E+17</v>
      </c>
      <c r="K62">
        <f>J62*E62</f>
        <v>83616817841.268311</v>
      </c>
    </row>
    <row r="63" spans="1:18" x14ac:dyDescent="0.3">
      <c r="A63" s="30">
        <v>152</v>
      </c>
      <c r="B63" s="30">
        <v>20</v>
      </c>
      <c r="C63" s="30">
        <v>-2</v>
      </c>
      <c r="D63" s="31">
        <f>$C$1*(A63+B63/60)</f>
        <v>2.6587182272046954</v>
      </c>
      <c r="E63" s="32">
        <f>ABS($H$1*SIN(D63-$D$3)/C63)</f>
        <v>6.2330005634173536E-7</v>
      </c>
      <c r="F63" s="33">
        <f>E63*1000000000</f>
        <v>623.3000563417354</v>
      </c>
      <c r="G63" s="33">
        <f t="shared" ref="G63" si="23">H63*10^9</f>
        <v>1.2953266562306893</v>
      </c>
      <c r="H63" s="23">
        <f t="shared" ref="H63" si="24">SQRT((SIN(D63-$D$3)*$I$1/C63)^2+($H$1*COS(D63-$D$3)*$L$1/C63)^2)</f>
        <v>1.2953266562306892E-9</v>
      </c>
      <c r="I63">
        <f t="shared" si="22"/>
        <v>2.0781750988973172E-3</v>
      </c>
      <c r="J63">
        <f>1/H63^2</f>
        <v>5.959933229558633E+17</v>
      </c>
      <c r="K63">
        <f>J63*E63</f>
        <v>371482671777.68768</v>
      </c>
    </row>
    <row r="64" spans="1:18" x14ac:dyDescent="0.3">
      <c r="J64">
        <f>SUM(J60:J63)</f>
        <v>1.460187409781333E+18</v>
      </c>
      <c r="K64">
        <f>SUM(K60:K63)</f>
        <v>910198979237.91284</v>
      </c>
    </row>
  </sheetData>
  <mergeCells count="9">
    <mergeCell ref="A45:G45"/>
    <mergeCell ref="A52:G52"/>
    <mergeCell ref="A59:G59"/>
    <mergeCell ref="A6:G6"/>
    <mergeCell ref="A13:G13"/>
    <mergeCell ref="A19:G19"/>
    <mergeCell ref="A26:G26"/>
    <mergeCell ref="A32:G32"/>
    <mergeCell ref="A38:G38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Beta</vt:lpstr>
      <vt:lpstr>Sodio giallo interno</vt:lpstr>
      <vt:lpstr>Sodio giallo esterno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Passaro</dc:creator>
  <cp:lastModifiedBy>Nicolò Cavalleri</cp:lastModifiedBy>
  <dcterms:created xsi:type="dcterms:W3CDTF">2016-11-07T08:02:39Z</dcterms:created>
  <dcterms:modified xsi:type="dcterms:W3CDTF">2016-11-13T13:02:10Z</dcterms:modified>
</cp:coreProperties>
</file>