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co\OneDrive\Dokumente\backup surface\2-anno\laboratorio\"/>
    </mc:Choice>
  </mc:AlternateContent>
  <bookViews>
    <workbookView xWindow="2790" yWindow="0" windowWidth="19590" windowHeight="10058" tabRatio="479" activeTab="1"/>
  </bookViews>
  <sheets>
    <sheet name="dati raccolti" sheetId="1" r:id="rId1"/>
    <sheet name="regressione linear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Q142" i="1"/>
  <c r="Q129" i="1"/>
  <c r="Q116" i="1"/>
  <c r="Q102" i="1"/>
  <c r="Q88" i="1"/>
  <c r="Q74" i="1"/>
  <c r="Q46" i="1"/>
  <c r="Q60" i="1"/>
  <c r="Q33" i="1"/>
  <c r="O34" i="1" s="1"/>
  <c r="D4" i="2" s="1"/>
  <c r="F14" i="2"/>
  <c r="F13" i="2"/>
  <c r="C4" i="2" l="1"/>
  <c r="P142" i="1"/>
  <c r="O143" i="1" s="1"/>
  <c r="P129" i="1"/>
  <c r="O130" i="1" s="1"/>
  <c r="P116" i="1"/>
  <c r="O117" i="1" s="1"/>
  <c r="P102" i="1"/>
  <c r="O103" i="1" s="1"/>
  <c r="P88" i="1"/>
  <c r="O89" i="1" s="1"/>
  <c r="P74" i="1"/>
  <c r="O75" i="1" s="1"/>
  <c r="P60" i="1"/>
  <c r="O61" i="1" s="1"/>
  <c r="P46" i="1"/>
  <c r="O47" i="1" s="1"/>
  <c r="P33" i="1"/>
  <c r="L149" i="1"/>
  <c r="L136" i="1"/>
  <c r="L123" i="1"/>
  <c r="L109" i="1"/>
  <c r="L95" i="1"/>
  <c r="L81" i="1"/>
  <c r="L67" i="1"/>
  <c r="L53" i="1"/>
  <c r="L40" i="1"/>
  <c r="B4" i="2"/>
  <c r="K146" i="1"/>
  <c r="K133" i="1"/>
  <c r="K120" i="1"/>
  <c r="K106" i="1"/>
  <c r="K92" i="1"/>
  <c r="K78" i="1"/>
  <c r="K121" i="1"/>
  <c r="D107" i="1"/>
  <c r="D93" i="1"/>
  <c r="K93" i="1"/>
  <c r="K107" i="1"/>
  <c r="G27" i="1"/>
  <c r="J148" i="1"/>
  <c r="L148" i="1" s="1"/>
  <c r="L147" i="1"/>
  <c r="J147" i="1"/>
  <c r="L146" i="1"/>
  <c r="J146" i="1"/>
  <c r="J145" i="1"/>
  <c r="L145" i="1" s="1"/>
  <c r="J144" i="1"/>
  <c r="L144" i="1" s="1"/>
  <c r="L143" i="1"/>
  <c r="J143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94" i="1"/>
  <c r="J94" i="1"/>
  <c r="L93" i="1"/>
  <c r="J93" i="1"/>
  <c r="L92" i="1"/>
  <c r="J92" i="1"/>
  <c r="L91" i="1"/>
  <c r="J91" i="1"/>
  <c r="L90" i="1"/>
  <c r="J90" i="1"/>
  <c r="L89" i="1"/>
  <c r="J89" i="1"/>
  <c r="L80" i="1"/>
  <c r="J80" i="1"/>
  <c r="L79" i="1"/>
  <c r="J79" i="1"/>
  <c r="L78" i="1"/>
  <c r="J78" i="1"/>
  <c r="L77" i="1"/>
  <c r="J77" i="1"/>
  <c r="L76" i="1"/>
  <c r="J76" i="1"/>
  <c r="L75" i="1"/>
  <c r="J75" i="1"/>
  <c r="J66" i="1"/>
  <c r="L66" i="1" s="1"/>
  <c r="J65" i="1"/>
  <c r="L65" i="1" s="1"/>
  <c r="L64" i="1"/>
  <c r="J64" i="1"/>
  <c r="L63" i="1"/>
  <c r="J63" i="1"/>
  <c r="J62" i="1"/>
  <c r="L62" i="1" s="1"/>
  <c r="J61" i="1"/>
  <c r="L61" i="1" s="1"/>
  <c r="J52" i="1"/>
  <c r="L52" i="1" s="1"/>
  <c r="J51" i="1"/>
  <c r="L51" i="1" s="1"/>
  <c r="L50" i="1"/>
  <c r="J50" i="1"/>
  <c r="L49" i="1"/>
  <c r="J49" i="1"/>
  <c r="J48" i="1"/>
  <c r="L48" i="1" s="1"/>
  <c r="J47" i="1"/>
  <c r="L47" i="1" s="1"/>
  <c r="H27" i="1"/>
  <c r="E148" i="1"/>
  <c r="D148" i="1"/>
  <c r="K148" i="1" s="1"/>
  <c r="I148" i="1" s="1"/>
  <c r="E147" i="1"/>
  <c r="D147" i="1"/>
  <c r="K147" i="1" s="1"/>
  <c r="E146" i="1"/>
  <c r="D146" i="1"/>
  <c r="E145" i="1"/>
  <c r="D145" i="1"/>
  <c r="E144" i="1"/>
  <c r="D144" i="1"/>
  <c r="E135" i="1"/>
  <c r="D135" i="1"/>
  <c r="K135" i="1" s="1"/>
  <c r="E134" i="1"/>
  <c r="D134" i="1"/>
  <c r="K134" i="1" s="1"/>
  <c r="E133" i="1"/>
  <c r="D133" i="1"/>
  <c r="E132" i="1"/>
  <c r="D132" i="1"/>
  <c r="E131" i="1"/>
  <c r="D131" i="1"/>
  <c r="E122" i="1"/>
  <c r="D122" i="1"/>
  <c r="K122" i="1" s="1"/>
  <c r="E121" i="1"/>
  <c r="D121" i="1"/>
  <c r="E120" i="1"/>
  <c r="D120" i="1"/>
  <c r="E119" i="1"/>
  <c r="D119" i="1"/>
  <c r="E118" i="1"/>
  <c r="D118" i="1"/>
  <c r="E108" i="1"/>
  <c r="D108" i="1"/>
  <c r="K108" i="1" s="1"/>
  <c r="E107" i="1"/>
  <c r="E106" i="1"/>
  <c r="D106" i="1"/>
  <c r="E105" i="1"/>
  <c r="D105" i="1"/>
  <c r="E104" i="1"/>
  <c r="D104" i="1"/>
  <c r="E94" i="1"/>
  <c r="D94" i="1"/>
  <c r="K94" i="1" s="1"/>
  <c r="E93" i="1"/>
  <c r="E92" i="1"/>
  <c r="D92" i="1"/>
  <c r="E91" i="1"/>
  <c r="D91" i="1"/>
  <c r="E90" i="1"/>
  <c r="D90" i="1"/>
  <c r="E80" i="1"/>
  <c r="D80" i="1"/>
  <c r="K80" i="1" s="1"/>
  <c r="E79" i="1"/>
  <c r="D79" i="1"/>
  <c r="E78" i="1"/>
  <c r="D78" i="1"/>
  <c r="E77" i="1"/>
  <c r="D77" i="1"/>
  <c r="E76" i="1"/>
  <c r="D76" i="1"/>
  <c r="E66" i="1"/>
  <c r="D66" i="1"/>
  <c r="K66" i="1" s="1"/>
  <c r="E65" i="1"/>
  <c r="D65" i="1"/>
  <c r="E64" i="1"/>
  <c r="D64" i="1"/>
  <c r="K64" i="1" s="1"/>
  <c r="E63" i="1"/>
  <c r="D63" i="1"/>
  <c r="E62" i="1"/>
  <c r="D62" i="1"/>
  <c r="E52" i="1"/>
  <c r="D52" i="1"/>
  <c r="K52" i="1" s="1"/>
  <c r="E51" i="1"/>
  <c r="D51" i="1"/>
  <c r="E50" i="1"/>
  <c r="D50" i="1"/>
  <c r="K50" i="1" s="1"/>
  <c r="E49" i="1"/>
  <c r="D49" i="1"/>
  <c r="E48" i="1"/>
  <c r="D48" i="1"/>
  <c r="J35" i="1"/>
  <c r="L35" i="1" s="1"/>
  <c r="J36" i="1"/>
  <c r="L36" i="1" s="1"/>
  <c r="J37" i="1"/>
  <c r="L37" i="1" s="1"/>
  <c r="J38" i="1"/>
  <c r="L38" i="1" s="1"/>
  <c r="J39" i="1"/>
  <c r="L39" i="1" s="1"/>
  <c r="J34" i="1"/>
  <c r="L34" i="1" s="1"/>
  <c r="D35" i="1"/>
  <c r="E35" i="1"/>
  <c r="D36" i="1"/>
  <c r="E36" i="1"/>
  <c r="D37" i="1"/>
  <c r="K37" i="1" s="1"/>
  <c r="E37" i="1"/>
  <c r="D38" i="1"/>
  <c r="E38" i="1"/>
  <c r="D39" i="1"/>
  <c r="K39" i="1" s="1"/>
  <c r="E39" i="1"/>
  <c r="E34" i="1"/>
  <c r="D34" i="1"/>
  <c r="H9" i="1"/>
  <c r="J9" i="1" s="1"/>
  <c r="A5" i="1"/>
  <c r="D5" i="1" s="1"/>
  <c r="J6" i="1"/>
  <c r="G5" i="1"/>
  <c r="J5" i="1" s="1"/>
  <c r="J7" i="1"/>
  <c r="J8" i="1"/>
  <c r="J10" i="1"/>
  <c r="D6" i="1"/>
  <c r="D7" i="1"/>
  <c r="P7" i="1" s="1"/>
  <c r="D18" i="1" s="1"/>
  <c r="H18" i="1" s="1"/>
  <c r="D8" i="1"/>
  <c r="D9" i="1"/>
  <c r="D10" i="1"/>
  <c r="Q6" i="1"/>
  <c r="E17" i="1" s="1"/>
  <c r="C17" i="1" s="1"/>
  <c r="Q7" i="1"/>
  <c r="E18" i="1" s="1"/>
  <c r="C18" i="1" s="1"/>
  <c r="Q8" i="1"/>
  <c r="E19" i="1" s="1"/>
  <c r="C19" i="1" s="1"/>
  <c r="Q9" i="1"/>
  <c r="E20" i="1" s="1"/>
  <c r="C20" i="1" s="1"/>
  <c r="Q10" i="1"/>
  <c r="E21" i="1" s="1"/>
  <c r="C21" i="1" s="1"/>
  <c r="K6" i="1"/>
  <c r="K7" i="1"/>
  <c r="K8" i="1"/>
  <c r="K9" i="1"/>
  <c r="K10" i="1"/>
  <c r="E6" i="1"/>
  <c r="E7" i="1"/>
  <c r="E8" i="1"/>
  <c r="E9" i="1"/>
  <c r="E10" i="1"/>
  <c r="I147" i="1" l="1"/>
  <c r="I39" i="1"/>
  <c r="I64" i="1"/>
  <c r="H148" i="1"/>
  <c r="P6" i="1"/>
  <c r="D17" i="1" s="1"/>
  <c r="P5" i="1"/>
  <c r="N5" i="1" s="1"/>
  <c r="K15" i="1"/>
  <c r="P8" i="1"/>
  <c r="D19" i="1" s="1"/>
  <c r="A19" i="1" s="1"/>
  <c r="P10" i="1"/>
  <c r="D21" i="1" s="1"/>
  <c r="H21" i="1" s="1"/>
  <c r="P9" i="1"/>
  <c r="M7" i="1"/>
  <c r="H26" i="1"/>
  <c r="G26" i="1"/>
  <c r="A139" i="1"/>
  <c r="A12" i="2" s="1"/>
  <c r="A126" i="1"/>
  <c r="C11" i="2" s="1"/>
  <c r="A113" i="1"/>
  <c r="C10" i="2" s="1"/>
  <c r="A99" i="1"/>
  <c r="A9" i="2" s="1"/>
  <c r="E143" i="1"/>
  <c r="D143" i="1"/>
  <c r="E130" i="1"/>
  <c r="D130" i="1"/>
  <c r="K130" i="1" s="1"/>
  <c r="E117" i="1"/>
  <c r="D117" i="1"/>
  <c r="E103" i="1"/>
  <c r="D103" i="1"/>
  <c r="K103" i="1" s="1"/>
  <c r="A85" i="1"/>
  <c r="A8" i="2" s="1"/>
  <c r="A71" i="1"/>
  <c r="C7" i="2" s="1"/>
  <c r="E89" i="1"/>
  <c r="D89" i="1"/>
  <c r="K89" i="1" s="1"/>
  <c r="E75" i="1"/>
  <c r="D75" i="1"/>
  <c r="A57" i="1"/>
  <c r="C6" i="2" s="1"/>
  <c r="A43" i="1"/>
  <c r="A5" i="2" s="1"/>
  <c r="E61" i="1"/>
  <c r="D61" i="1"/>
  <c r="E47" i="1"/>
  <c r="D47" i="1"/>
  <c r="K47" i="1" s="1"/>
  <c r="H47" i="1" s="1"/>
  <c r="B30" i="1"/>
  <c r="A30" i="1"/>
  <c r="A4" i="2" s="1"/>
  <c r="Q5" i="1"/>
  <c r="E16" i="1" s="1"/>
  <c r="C16" i="1" s="1"/>
  <c r="K5" i="1"/>
  <c r="E5" i="1"/>
  <c r="H120" i="1" l="1"/>
  <c r="I37" i="1"/>
  <c r="H89" i="1"/>
  <c r="I89" i="1"/>
  <c r="I130" i="1"/>
  <c r="H130" i="1"/>
  <c r="K79" i="1"/>
  <c r="K144" i="1"/>
  <c r="K132" i="1"/>
  <c r="K90" i="1"/>
  <c r="K77" i="1"/>
  <c r="K51" i="1"/>
  <c r="K105" i="1"/>
  <c r="K91" i="1"/>
  <c r="K62" i="1"/>
  <c r="K65" i="1"/>
  <c r="K145" i="1"/>
  <c r="K131" i="1"/>
  <c r="K119" i="1"/>
  <c r="K76" i="1"/>
  <c r="K49" i="1"/>
  <c r="K48" i="1"/>
  <c r="K118" i="1"/>
  <c r="K104" i="1"/>
  <c r="K63" i="1"/>
  <c r="K149" i="1"/>
  <c r="K75" i="1"/>
  <c r="K117" i="1"/>
  <c r="K143" i="1"/>
  <c r="I47" i="1"/>
  <c r="I103" i="1"/>
  <c r="H103" i="1"/>
  <c r="K34" i="1"/>
  <c r="H34" i="1" s="1"/>
  <c r="K61" i="1"/>
  <c r="K67" i="1" s="1"/>
  <c r="K38" i="1"/>
  <c r="H38" i="1" s="1"/>
  <c r="H65" i="1"/>
  <c r="H51" i="1"/>
  <c r="K53" i="1"/>
  <c r="H64" i="1"/>
  <c r="H37" i="1"/>
  <c r="I120" i="1"/>
  <c r="I108" i="1"/>
  <c r="H108" i="1"/>
  <c r="H134" i="1"/>
  <c r="I134" i="1"/>
  <c r="I135" i="1"/>
  <c r="H135" i="1"/>
  <c r="I78" i="1"/>
  <c r="H78" i="1"/>
  <c r="K81" i="1"/>
  <c r="H39" i="1"/>
  <c r="K123" i="1"/>
  <c r="K109" i="1"/>
  <c r="H106" i="1"/>
  <c r="I106" i="1"/>
  <c r="I133" i="1"/>
  <c r="H133" i="1"/>
  <c r="H92" i="1"/>
  <c r="I92" i="1"/>
  <c r="K95" i="1"/>
  <c r="H79" i="1"/>
  <c r="I79" i="1"/>
  <c r="I93" i="1"/>
  <c r="H93" i="1"/>
  <c r="I107" i="1"/>
  <c r="H107" i="1"/>
  <c r="I146" i="1"/>
  <c r="H146" i="1"/>
  <c r="H121" i="1"/>
  <c r="I121" i="1"/>
  <c r="H94" i="1"/>
  <c r="I94" i="1"/>
  <c r="I38" i="1"/>
  <c r="H147" i="1"/>
  <c r="I80" i="1"/>
  <c r="H80" i="1"/>
  <c r="I122" i="1"/>
  <c r="H122" i="1"/>
  <c r="H52" i="1"/>
  <c r="I52" i="1"/>
  <c r="H66" i="1"/>
  <c r="I66" i="1"/>
  <c r="H50" i="1"/>
  <c r="I50" i="1"/>
  <c r="K35" i="1"/>
  <c r="D16" i="1"/>
  <c r="H16" i="1" s="1"/>
  <c r="K16" i="1" s="1"/>
  <c r="K36" i="1"/>
  <c r="N6" i="1"/>
  <c r="M6" i="1"/>
  <c r="K18" i="1"/>
  <c r="C5" i="2"/>
  <c r="C8" i="2"/>
  <c r="C9" i="2"/>
  <c r="I15" i="1"/>
  <c r="I18" i="1" s="1"/>
  <c r="C12" i="2"/>
  <c r="N9" i="1"/>
  <c r="D20" i="1"/>
  <c r="H20" i="1" s="1"/>
  <c r="K21" i="1"/>
  <c r="N15" i="1"/>
  <c r="H19" i="1"/>
  <c r="H17" i="1"/>
  <c r="N10" i="1"/>
  <c r="M10" i="1"/>
  <c r="M9" i="1"/>
  <c r="M8" i="1"/>
  <c r="N8" i="1"/>
  <c r="N7" i="1"/>
  <c r="A6" i="2"/>
  <c r="A10" i="2"/>
  <c r="A7" i="2"/>
  <c r="A11" i="2"/>
  <c r="B19" i="1"/>
  <c r="A21" i="1"/>
  <c r="B21" i="1"/>
  <c r="M5" i="1"/>
  <c r="B16" i="1"/>
  <c r="A16" i="1"/>
  <c r="I65" i="1" l="1"/>
  <c r="I51" i="1"/>
  <c r="H48" i="1"/>
  <c r="I48" i="1"/>
  <c r="I90" i="1"/>
  <c r="H90" i="1"/>
  <c r="H143" i="1"/>
  <c r="I143" i="1"/>
  <c r="H49" i="1"/>
  <c r="I49" i="1"/>
  <c r="I105" i="1"/>
  <c r="H105" i="1"/>
  <c r="I117" i="1"/>
  <c r="H117" i="1"/>
  <c r="I104" i="1"/>
  <c r="H104" i="1"/>
  <c r="H76" i="1"/>
  <c r="I76" i="1"/>
  <c r="I144" i="1"/>
  <c r="H144" i="1"/>
  <c r="H61" i="1"/>
  <c r="I61" i="1"/>
  <c r="H131" i="1"/>
  <c r="I131" i="1"/>
  <c r="H91" i="1"/>
  <c r="I91" i="1"/>
  <c r="H63" i="1"/>
  <c r="I63" i="1"/>
  <c r="H145" i="1"/>
  <c r="I145" i="1"/>
  <c r="H132" i="1"/>
  <c r="I132" i="1"/>
  <c r="I34" i="1"/>
  <c r="K136" i="1"/>
  <c r="I75" i="1"/>
  <c r="H75" i="1"/>
  <c r="I118" i="1"/>
  <c r="H118" i="1"/>
  <c r="H119" i="1"/>
  <c r="I119" i="1"/>
  <c r="H62" i="1"/>
  <c r="I62" i="1"/>
  <c r="I77" i="1"/>
  <c r="H77" i="1"/>
  <c r="I35" i="1"/>
  <c r="H35" i="1"/>
  <c r="K40" i="1"/>
  <c r="H36" i="1"/>
  <c r="I36" i="1"/>
  <c r="A20" i="1"/>
  <c r="J15" i="1"/>
  <c r="K17" i="1"/>
  <c r="I17" i="1"/>
  <c r="I21" i="1"/>
  <c r="I16" i="1"/>
  <c r="E22" i="1"/>
  <c r="C22" i="1" s="1"/>
  <c r="B20" i="1"/>
  <c r="I20" i="1"/>
  <c r="K20" i="1"/>
  <c r="M15" i="1"/>
  <c r="M20" i="1" s="1"/>
  <c r="N16" i="1"/>
  <c r="N20" i="1"/>
  <c r="N17" i="1"/>
  <c r="N18" i="1"/>
  <c r="N21" i="1"/>
  <c r="L15" i="1"/>
  <c r="L19" i="1" s="1"/>
  <c r="K19" i="1"/>
  <c r="I19" i="1"/>
  <c r="N19" i="1"/>
  <c r="B17" i="1"/>
  <c r="A17" i="1"/>
  <c r="D22" i="1"/>
  <c r="B18" i="1"/>
  <c r="A18" i="1"/>
  <c r="N61" i="1" l="1"/>
  <c r="B6" i="2" s="1"/>
  <c r="N47" i="1"/>
  <c r="B5" i="2" s="1"/>
  <c r="N103" i="1"/>
  <c r="B9" i="2" s="1"/>
  <c r="N117" i="1"/>
  <c r="B10" i="2" s="1"/>
  <c r="N130" i="1"/>
  <c r="B11" i="2" s="1"/>
  <c r="N34" i="1"/>
  <c r="N89" i="1"/>
  <c r="B8" i="2" s="1"/>
  <c r="N75" i="1"/>
  <c r="B7" i="2" s="1"/>
  <c r="N143" i="1"/>
  <c r="B12" i="2" s="1"/>
  <c r="M19" i="1"/>
  <c r="J18" i="1"/>
  <c r="J16" i="1"/>
  <c r="J21" i="1"/>
  <c r="J19" i="1"/>
  <c r="J20" i="1"/>
  <c r="J17" i="1"/>
  <c r="M18" i="1"/>
  <c r="M16" i="1"/>
  <c r="M17" i="1"/>
  <c r="M21" i="1"/>
  <c r="L18" i="1"/>
  <c r="L17" i="1"/>
  <c r="L16" i="1"/>
  <c r="L20" i="1"/>
  <c r="L21" i="1"/>
  <c r="A22" i="1"/>
  <c r="B22" i="1"/>
  <c r="B14" i="2" l="1"/>
</calcChain>
</file>

<file path=xl/sharedStrings.xml><?xml version="1.0" encoding="utf-8"?>
<sst xmlns="http://schemas.openxmlformats.org/spreadsheetml/2006/main" count="204" uniqueCount="41">
  <si>
    <t>gradi</t>
  </si>
  <si>
    <t>primi</t>
  </si>
  <si>
    <t>err</t>
  </si>
  <si>
    <t xml:space="preserve">radianti </t>
  </si>
  <si>
    <t>err rad.</t>
  </si>
  <si>
    <t>theta 1</t>
  </si>
  <si>
    <t>theta 2</t>
  </si>
  <si>
    <t>delta theta</t>
  </si>
  <si>
    <t xml:space="preserve">err </t>
  </si>
  <si>
    <t>err. rad.</t>
  </si>
  <si>
    <t xml:space="preserve">misura di alpha </t>
  </si>
  <si>
    <t>misura di delta</t>
  </si>
  <si>
    <t xml:space="preserve">lambda </t>
  </si>
  <si>
    <t>err.lambda</t>
  </si>
  <si>
    <t>delta</t>
  </si>
  <si>
    <t>delta_0</t>
  </si>
  <si>
    <t>alpha</t>
  </si>
  <si>
    <t>radianti</t>
  </si>
  <si>
    <t>rad</t>
  </si>
  <si>
    <t>delta_l</t>
  </si>
  <si>
    <t xml:space="preserve">regressione lineare </t>
  </si>
  <si>
    <t xml:space="preserve">x </t>
  </si>
  <si>
    <t>n</t>
  </si>
  <si>
    <t>val</t>
  </si>
  <si>
    <t>y</t>
  </si>
  <si>
    <t>x err.</t>
  </si>
  <si>
    <t>y err.</t>
  </si>
  <si>
    <t>Viola interno</t>
  </si>
  <si>
    <t>Viola esterno</t>
  </si>
  <si>
    <t>blu</t>
  </si>
  <si>
    <t>Verde int</t>
  </si>
  <si>
    <t>Verde est</t>
  </si>
  <si>
    <t>Verde Giallo</t>
  </si>
  <si>
    <t>Giallo Interno</t>
  </si>
  <si>
    <t>Giallo esterno</t>
  </si>
  <si>
    <t>Rosso</t>
  </si>
  <si>
    <t>nota: nell'effettuare la regressione ho errore variabile sia sulle y che sulle x</t>
  </si>
  <si>
    <t>y err corr.</t>
  </si>
  <si>
    <t>osservo però che l'errore sulle y sommato in quadratura con il quadrato dell</t>
  </si>
  <si>
    <t xml:space="preserve">errore sulle x e del coeff angolare (approssimato) da come risultato un termine analogo a quello </t>
  </si>
  <si>
    <t>di sigma y. L'errore sulle x è ininfluente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</si>
</sst>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0" fontId="2" fillId="2" borderId="1" xfId="1"/>
    <xf numFmtId="0" fontId="1" fillId="5" borderId="0" xfId="4"/>
    <xf numFmtId="0" fontId="1" fillId="4" borderId="0" xfId="3"/>
    <xf numFmtId="0" fontId="4" fillId="6" borderId="0" xfId="5"/>
    <xf numFmtId="0" fontId="4" fillId="3" borderId="0" xfId="2"/>
    <xf numFmtId="0" fontId="3" fillId="4" borderId="0" xfId="3" applyFont="1"/>
    <xf numFmtId="0" fontId="2" fillId="3" borderId="0" xfId="2" applyFont="1"/>
    <xf numFmtId="0" fontId="3" fillId="5" borderId="0" xfId="4" applyFont="1"/>
    <xf numFmtId="0" fontId="2" fillId="6" borderId="0" xfId="5" applyFont="1"/>
    <xf numFmtId="0" fontId="0" fillId="5" borderId="0" xfId="4" applyFont="1"/>
    <xf numFmtId="0" fontId="0" fillId="4" borderId="0" xfId="3" applyFont="1"/>
    <xf numFmtId="0" fontId="0" fillId="0" borderId="0" xfId="0" applyFont="1"/>
    <xf numFmtId="0" fontId="0" fillId="7" borderId="0" xfId="0" applyFill="1"/>
  </cellXfs>
  <cellStyles count="6">
    <cellStyle name="20% - Colore 5" xfId="3" builtinId="46"/>
    <cellStyle name="40% - Colore 5" xfId="4" builtinId="47"/>
    <cellStyle name="60% - Colore 5" xfId="5" builtinId="48"/>
    <cellStyle name="Cella da controllare" xfId="1" builtinId="23"/>
    <cellStyle name="Colore 5" xfId="2" builtinId="45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opLeftCell="A122" zoomScaleNormal="100" workbookViewId="0">
      <selection activeCell="Q143" sqref="Q143"/>
    </sheetView>
  </sheetViews>
  <sheetFormatPr defaultRowHeight="14.25" x14ac:dyDescent="0.45"/>
  <cols>
    <col min="1" max="1" width="10.59765625" bestFit="1" customWidth="1"/>
    <col min="3" max="3" width="8.796875" customWidth="1"/>
    <col min="4" max="4" width="10.59765625" bestFit="1" customWidth="1"/>
    <col min="5" max="5" width="9.1328125" bestFit="1" customWidth="1"/>
  </cols>
  <sheetData>
    <row r="1" spans="1:17" ht="15" thickTop="1" thickBot="1" x14ac:dyDescent="0.5">
      <c r="A1" s="1" t="s">
        <v>10</v>
      </c>
      <c r="B1" s="1"/>
    </row>
    <row r="2" spans="1:17" ht="14.65" thickTop="1" x14ac:dyDescent="0.45"/>
    <row r="3" spans="1:17" x14ac:dyDescent="0.45">
      <c r="A3" s="6" t="s">
        <v>5</v>
      </c>
      <c r="B3" s="3"/>
      <c r="C3" s="3"/>
      <c r="D3" s="3"/>
      <c r="E3" s="3"/>
      <c r="G3" s="8" t="s">
        <v>6</v>
      </c>
      <c r="H3" s="2"/>
      <c r="I3" s="2"/>
      <c r="J3" s="2"/>
      <c r="K3" s="2"/>
      <c r="M3" s="9" t="s">
        <v>7</v>
      </c>
      <c r="N3" s="4"/>
      <c r="O3" s="4"/>
      <c r="P3" s="4"/>
      <c r="Q3" s="4"/>
    </row>
    <row r="4" spans="1:17" x14ac:dyDescent="0.4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  <c r="M4" s="4" t="s">
        <v>0</v>
      </c>
      <c r="N4" s="4" t="s">
        <v>1</v>
      </c>
      <c r="O4" s="4" t="s">
        <v>2</v>
      </c>
      <c r="P4" s="4" t="s">
        <v>3</v>
      </c>
      <c r="Q4" s="4" t="s">
        <v>4</v>
      </c>
    </row>
    <row r="5" spans="1:17" x14ac:dyDescent="0.45">
      <c r="A5" s="3">
        <f>354</f>
        <v>354</v>
      </c>
      <c r="B5" s="3">
        <v>26</v>
      </c>
      <c r="C5" s="3">
        <v>1</v>
      </c>
      <c r="D5" s="3">
        <f>(PI()/180)*(A5+B5/60)</f>
        <v>6.1860286454852353</v>
      </c>
      <c r="E5" s="3">
        <f>0.0175*(C5/60)</f>
        <v>2.9166666666666669E-4</v>
      </c>
      <c r="G5" s="10">
        <f>54</f>
        <v>54</v>
      </c>
      <c r="H5" s="2">
        <v>24</v>
      </c>
      <c r="I5" s="2">
        <v>1</v>
      </c>
      <c r="J5" s="2">
        <f>(PI()/180)*(G5+H5/60)</f>
        <v>0.94945911308491526</v>
      </c>
      <c r="K5" s="2">
        <f>0.0175*(I5/60)</f>
        <v>2.9166666666666669E-4</v>
      </c>
      <c r="M5" s="4">
        <f>INT(DEGREES(P5))</f>
        <v>120</v>
      </c>
      <c r="N5" s="4">
        <f>60*(DEGREES(P5)-INT(DEGREES(P5)))</f>
        <v>2.0000000000015916</v>
      </c>
      <c r="O5" s="4">
        <v>2</v>
      </c>
      <c r="P5" s="4">
        <f>ABS(D5-J5-PI())</f>
        <v>2.0949768788105274</v>
      </c>
      <c r="Q5" s="4">
        <f>0.0175*(O5/60)</f>
        <v>5.8333333333333338E-4</v>
      </c>
    </row>
    <row r="6" spans="1:17" x14ac:dyDescent="0.45">
      <c r="A6" s="11">
        <v>35</v>
      </c>
      <c r="B6" s="3">
        <v>46</v>
      </c>
      <c r="C6" s="3">
        <v>1</v>
      </c>
      <c r="D6" s="3">
        <f t="shared" ref="D6:D10" si="0">(PI()/180)*(A6+B6/60)</f>
        <v>0.62424609579663848</v>
      </c>
      <c r="E6" s="3">
        <f t="shared" ref="E6:E10" si="1">0.0175*(C6/60)</f>
        <v>2.9166666666666669E-4</v>
      </c>
      <c r="G6" s="2">
        <v>275</v>
      </c>
      <c r="H6" s="10">
        <v>43</v>
      </c>
      <c r="I6" s="2">
        <v>1</v>
      </c>
      <c r="J6" s="2">
        <f t="shared" ref="J6:J10" si="2">(PI()/180)*(G6+H6/60)</f>
        <v>4.8121636359570319</v>
      </c>
      <c r="K6" s="2">
        <f t="shared" ref="K6:K10" si="3">0.0175*(I6/60)</f>
        <v>2.9166666666666669E-4</v>
      </c>
      <c r="M6" s="4">
        <f t="shared" ref="M6:M10" si="4">INT(DEGREES(P6))</f>
        <v>239</v>
      </c>
      <c r="N6" s="4">
        <f t="shared" ref="N6:N10" si="5">60*(DEGREES(P6)-INT(DEGREES(P6)))</f>
        <v>56.999999999999318</v>
      </c>
      <c r="O6" s="4">
        <v>2</v>
      </c>
      <c r="P6" s="4">
        <f>ABS(D6-J6)</f>
        <v>4.1879175401603934</v>
      </c>
      <c r="Q6" s="4">
        <f t="shared" ref="Q6:Q10" si="6">0.0175*(O6/60)</f>
        <v>5.8333333333333338E-4</v>
      </c>
    </row>
    <row r="7" spans="1:17" x14ac:dyDescent="0.45">
      <c r="A7" s="3">
        <v>30</v>
      </c>
      <c r="B7" s="3">
        <v>22</v>
      </c>
      <c r="C7" s="3">
        <v>1</v>
      </c>
      <c r="D7" s="3">
        <f>(PI()/180)*(A7+B7/60)</f>
        <v>0.52999831618894477</v>
      </c>
      <c r="E7" s="3">
        <f t="shared" si="1"/>
        <v>2.9166666666666669E-4</v>
      </c>
      <c r="G7" s="2">
        <v>270</v>
      </c>
      <c r="H7" s="2">
        <v>17.5</v>
      </c>
      <c r="I7" s="2">
        <v>1</v>
      </c>
      <c r="J7" s="2">
        <f>(PI()/180)*(G7+H7/60)</f>
        <v>4.7174795240363405</v>
      </c>
      <c r="K7" s="2">
        <f t="shared" si="3"/>
        <v>2.9166666666666669E-4</v>
      </c>
      <c r="M7" s="4">
        <f t="shared" si="4"/>
        <v>239</v>
      </c>
      <c r="N7" s="4">
        <f t="shared" si="5"/>
        <v>55.500000000004093</v>
      </c>
      <c r="O7" s="4">
        <v>2</v>
      </c>
      <c r="P7" s="4">
        <f>ABS(D7-J7)</f>
        <v>4.1874812078473962</v>
      </c>
      <c r="Q7" s="4">
        <f t="shared" si="6"/>
        <v>5.8333333333333338E-4</v>
      </c>
    </row>
    <row r="8" spans="1:17" x14ac:dyDescent="0.45">
      <c r="A8" s="3">
        <v>25</v>
      </c>
      <c r="B8" s="3">
        <v>48</v>
      </c>
      <c r="C8" s="3">
        <v>1</v>
      </c>
      <c r="D8" s="3">
        <f t="shared" si="0"/>
        <v>0.45029494701453704</v>
      </c>
      <c r="E8" s="3">
        <f t="shared" si="1"/>
        <v>2.9166666666666669E-4</v>
      </c>
      <c r="G8" s="2">
        <v>265</v>
      </c>
      <c r="H8" s="2">
        <v>45</v>
      </c>
      <c r="I8" s="2">
        <v>1</v>
      </c>
      <c r="J8" s="2">
        <f t="shared" si="2"/>
        <v>4.6382124871749308</v>
      </c>
      <c r="K8" s="2">
        <f t="shared" si="3"/>
        <v>2.9166666666666669E-4</v>
      </c>
      <c r="M8" s="4">
        <f t="shared" si="4"/>
        <v>239</v>
      </c>
      <c r="N8" s="4">
        <f t="shared" si="5"/>
        <v>56.999999999999318</v>
      </c>
      <c r="O8" s="4">
        <v>2</v>
      </c>
      <c r="P8" s="4">
        <f>ABS(D8-J8)</f>
        <v>4.1879175401603934</v>
      </c>
      <c r="Q8" s="4">
        <f t="shared" si="6"/>
        <v>5.8333333333333338E-4</v>
      </c>
    </row>
    <row r="9" spans="1:17" x14ac:dyDescent="0.45">
      <c r="A9" s="3">
        <v>25</v>
      </c>
      <c r="B9" s="3">
        <v>41</v>
      </c>
      <c r="C9" s="3">
        <v>1</v>
      </c>
      <c r="D9" s="3">
        <f t="shared" si="0"/>
        <v>0.44825872955387697</v>
      </c>
      <c r="E9" s="3">
        <f t="shared" si="1"/>
        <v>2.9166666666666669E-4</v>
      </c>
      <c r="G9" s="2">
        <v>265</v>
      </c>
      <c r="H9" s="2">
        <f>20+18</f>
        <v>38</v>
      </c>
      <c r="I9" s="2">
        <v>1</v>
      </c>
      <c r="J9" s="2">
        <f t="shared" si="2"/>
        <v>4.6361762697142703</v>
      </c>
      <c r="K9" s="2">
        <f t="shared" si="3"/>
        <v>2.9166666666666669E-4</v>
      </c>
      <c r="M9" s="4">
        <f t="shared" si="4"/>
        <v>239</v>
      </c>
      <c r="N9" s="4">
        <f t="shared" si="5"/>
        <v>56.999999999999318</v>
      </c>
      <c r="O9" s="4">
        <v>2</v>
      </c>
      <c r="P9" s="4">
        <f t="shared" ref="P9:P10" si="7">ABS(D9-J9)</f>
        <v>4.1879175401603934</v>
      </c>
      <c r="Q9" s="4">
        <f t="shared" si="6"/>
        <v>5.8333333333333338E-4</v>
      </c>
    </row>
    <row r="10" spans="1:17" x14ac:dyDescent="0.45">
      <c r="A10" s="3">
        <v>30</v>
      </c>
      <c r="B10" s="3">
        <v>39.5</v>
      </c>
      <c r="C10" s="3">
        <v>1</v>
      </c>
      <c r="D10" s="3">
        <f t="shared" si="0"/>
        <v>0.53508885984059484</v>
      </c>
      <c r="E10" s="3">
        <f t="shared" si="1"/>
        <v>2.9166666666666669E-4</v>
      </c>
      <c r="G10" s="2">
        <v>270</v>
      </c>
      <c r="H10" s="10">
        <v>38</v>
      </c>
      <c r="I10" s="2">
        <v>1</v>
      </c>
      <c r="J10" s="2">
        <f t="shared" si="2"/>
        <v>4.7234427323139867</v>
      </c>
      <c r="K10" s="2">
        <f t="shared" si="3"/>
        <v>2.9166666666666669E-4</v>
      </c>
      <c r="M10" s="4">
        <f t="shared" si="4"/>
        <v>239</v>
      </c>
      <c r="N10" s="4">
        <f t="shared" si="5"/>
        <v>58.499999999997954</v>
      </c>
      <c r="O10" s="4">
        <v>2</v>
      </c>
      <c r="P10" s="4">
        <f t="shared" si="7"/>
        <v>4.1883538724733915</v>
      </c>
      <c r="Q10" s="4">
        <f t="shared" si="6"/>
        <v>5.8333333333333338E-4</v>
      </c>
    </row>
    <row r="14" spans="1:17" x14ac:dyDescent="0.45">
      <c r="A14" s="7" t="s">
        <v>16</v>
      </c>
      <c r="B14" s="5"/>
      <c r="C14" s="5"/>
      <c r="D14" s="5"/>
      <c r="E14" s="5"/>
    </row>
    <row r="15" spans="1:17" x14ac:dyDescent="0.45">
      <c r="A15" s="5" t="s">
        <v>0</v>
      </c>
      <c r="B15" s="5" t="s">
        <v>1</v>
      </c>
      <c r="C15" s="5" t="s">
        <v>8</v>
      </c>
      <c r="D15" s="5" t="s">
        <v>3</v>
      </c>
      <c r="E15" s="5" t="s">
        <v>9</v>
      </c>
      <c r="I15">
        <f>H16</f>
        <v>1.0466157747792657</v>
      </c>
      <c r="J15">
        <f>H17</f>
        <v>1.0463248865706003</v>
      </c>
      <c r="K15">
        <f>H18</f>
        <v>1.0458885542576031</v>
      </c>
      <c r="L15">
        <f>H19</f>
        <v>1.0463248865706003</v>
      </c>
      <c r="M15">
        <f>H20</f>
        <v>1.0463248865706003</v>
      </c>
      <c r="N15">
        <f>H21</f>
        <v>1.0467612188835984</v>
      </c>
    </row>
    <row r="16" spans="1:17" x14ac:dyDescent="0.45">
      <c r="A16" s="5">
        <f>INT(DEGREES(D16))</f>
        <v>59</v>
      </c>
      <c r="B16" s="5">
        <f>60*(DEGREES(D16)-INT(DEGREES(D16)))</f>
        <v>57.999999999997982</v>
      </c>
      <c r="C16" s="5">
        <f>60*DEGREES(E16)</f>
        <v>2.0053522829578814</v>
      </c>
      <c r="D16" s="5">
        <f>PI()-P5</f>
        <v>1.0466157747792657</v>
      </c>
      <c r="E16" s="5">
        <f>Q5</f>
        <v>5.8333333333333338E-4</v>
      </c>
      <c r="H16">
        <f>D16</f>
        <v>1.0466157747792657</v>
      </c>
      <c r="I16">
        <f>ABS($H16-I$15)/$E$16</f>
        <v>0</v>
      </c>
      <c r="J16">
        <f t="shared" ref="J16:N16" si="8">ABS($H16-J$15)/$E$16</f>
        <v>0.49866550056926984</v>
      </c>
      <c r="K16">
        <f t="shared" si="8"/>
        <v>1.2466637514216521</v>
      </c>
      <c r="L16">
        <f t="shared" si="8"/>
        <v>0.49866550056926984</v>
      </c>
      <c r="M16">
        <f t="shared" si="8"/>
        <v>0.49866550056926984</v>
      </c>
      <c r="N16">
        <f t="shared" si="8"/>
        <v>0.24933275028463492</v>
      </c>
    </row>
    <row r="17" spans="1:14" x14ac:dyDescent="0.45">
      <c r="A17" s="5">
        <f t="shared" ref="A17:A22" si="9">INT(DEGREES(D17))</f>
        <v>59</v>
      </c>
      <c r="B17" s="5">
        <f t="shared" ref="B17:B22" si="10">60*(DEGREES(D17)-INT(DEGREES(D17)))</f>
        <v>56.999999999999318</v>
      </c>
      <c r="C17" s="5">
        <f t="shared" ref="C17:C22" si="11">60*DEGREES(E17)</f>
        <v>2.0053522829578814</v>
      </c>
      <c r="D17" s="5">
        <f>ABS(PI() -P6)</f>
        <v>1.0463248865706003</v>
      </c>
      <c r="E17" s="5">
        <f t="shared" ref="E17:E21" si="12">Q6</f>
        <v>5.8333333333333338E-4</v>
      </c>
      <c r="H17">
        <f t="shared" ref="H17:H21" si="13">D17</f>
        <v>1.0463248865706003</v>
      </c>
      <c r="I17">
        <f t="shared" ref="I17:N21" si="14">ABS($H17-I$15)/$E$16</f>
        <v>0.49866550056926984</v>
      </c>
      <c r="J17">
        <f t="shared" si="14"/>
        <v>0</v>
      </c>
      <c r="K17">
        <f t="shared" si="14"/>
        <v>0.74799825085238214</v>
      </c>
      <c r="L17">
        <f t="shared" si="14"/>
        <v>0</v>
      </c>
      <c r="M17">
        <f t="shared" si="14"/>
        <v>0</v>
      </c>
      <c r="N17">
        <f t="shared" si="14"/>
        <v>0.74799825085390481</v>
      </c>
    </row>
    <row r="18" spans="1:14" x14ac:dyDescent="0.45">
      <c r="A18" s="5">
        <f t="shared" si="9"/>
        <v>59</v>
      </c>
      <c r="B18" s="5">
        <f t="shared" si="10"/>
        <v>55.500000000003666</v>
      </c>
      <c r="C18" s="5">
        <f t="shared" si="11"/>
        <v>2.0053522829578814</v>
      </c>
      <c r="D18" s="5">
        <f>P7-PI()</f>
        <v>1.0458885542576031</v>
      </c>
      <c r="E18" s="5">
        <f t="shared" si="12"/>
        <v>5.8333333333333338E-4</v>
      </c>
      <c r="H18">
        <f t="shared" si="13"/>
        <v>1.0458885542576031</v>
      </c>
      <c r="I18">
        <f>ABS($H18-I$15)/$E$16</f>
        <v>1.2466637514216521</v>
      </c>
      <c r="J18">
        <f t="shared" si="14"/>
        <v>0.74799825085238214</v>
      </c>
      <c r="K18">
        <f t="shared" si="14"/>
        <v>0</v>
      </c>
      <c r="L18">
        <f t="shared" si="14"/>
        <v>0.74799825085238214</v>
      </c>
      <c r="M18">
        <f t="shared" si="14"/>
        <v>0.74799825085238214</v>
      </c>
      <c r="N18">
        <f t="shared" si="14"/>
        <v>1.4959965017062868</v>
      </c>
    </row>
    <row r="19" spans="1:14" x14ac:dyDescent="0.45">
      <c r="A19" s="5">
        <f t="shared" si="9"/>
        <v>59</v>
      </c>
      <c r="B19" s="5">
        <f t="shared" si="10"/>
        <v>56.999999999999318</v>
      </c>
      <c r="C19" s="5">
        <f t="shared" si="11"/>
        <v>2.0053522829578814</v>
      </c>
      <c r="D19" s="5">
        <f>ABS(PI() -P8)</f>
        <v>1.0463248865706003</v>
      </c>
      <c r="E19" s="5">
        <f t="shared" si="12"/>
        <v>5.8333333333333338E-4</v>
      </c>
      <c r="H19">
        <f t="shared" si="13"/>
        <v>1.0463248865706003</v>
      </c>
      <c r="I19">
        <f t="shared" si="14"/>
        <v>0.49866550056926984</v>
      </c>
      <c r="J19">
        <f t="shared" si="14"/>
        <v>0</v>
      </c>
      <c r="K19">
        <f t="shared" si="14"/>
        <v>0.74799825085238214</v>
      </c>
      <c r="L19">
        <f t="shared" si="14"/>
        <v>0</v>
      </c>
      <c r="M19">
        <f t="shared" si="14"/>
        <v>0</v>
      </c>
      <c r="N19">
        <f t="shared" si="14"/>
        <v>0.74799825085390481</v>
      </c>
    </row>
    <row r="20" spans="1:14" x14ac:dyDescent="0.45">
      <c r="A20" s="5">
        <f t="shared" si="9"/>
        <v>59</v>
      </c>
      <c r="B20" s="5">
        <f t="shared" si="10"/>
        <v>56.999999999999318</v>
      </c>
      <c r="C20" s="5">
        <f t="shared" si="11"/>
        <v>2.0053522829578814</v>
      </c>
      <c r="D20" s="5">
        <f>ABS(PI() -P9)</f>
        <v>1.0463248865706003</v>
      </c>
      <c r="E20" s="5">
        <f t="shared" si="12"/>
        <v>5.8333333333333338E-4</v>
      </c>
      <c r="H20">
        <f t="shared" si="13"/>
        <v>1.0463248865706003</v>
      </c>
      <c r="I20">
        <f t="shared" si="14"/>
        <v>0.49866550056926984</v>
      </c>
      <c r="J20">
        <f t="shared" si="14"/>
        <v>0</v>
      </c>
      <c r="K20">
        <f t="shared" si="14"/>
        <v>0.74799825085238214</v>
      </c>
      <c r="L20">
        <f t="shared" si="14"/>
        <v>0</v>
      </c>
      <c r="M20">
        <f t="shared" si="14"/>
        <v>0</v>
      </c>
      <c r="N20">
        <f t="shared" si="14"/>
        <v>0.74799825085390481</v>
      </c>
    </row>
    <row r="21" spans="1:14" x14ac:dyDescent="0.45">
      <c r="A21" s="5">
        <f t="shared" si="9"/>
        <v>59</v>
      </c>
      <c r="B21" s="5">
        <f t="shared" si="10"/>
        <v>58.499999999997527</v>
      </c>
      <c r="C21" s="5">
        <f t="shared" si="11"/>
        <v>2.0053522829578814</v>
      </c>
      <c r="D21" s="5">
        <f>ABS(PI() -P10)</f>
        <v>1.0467612188835984</v>
      </c>
      <c r="E21" s="5">
        <f t="shared" si="12"/>
        <v>5.8333333333333338E-4</v>
      </c>
      <c r="H21">
        <f t="shared" si="13"/>
        <v>1.0467612188835984</v>
      </c>
      <c r="I21">
        <f t="shared" si="14"/>
        <v>0.24933275028463492</v>
      </c>
      <c r="J21">
        <f t="shared" si="14"/>
        <v>0.74799825085390481</v>
      </c>
      <c r="K21">
        <f t="shared" si="14"/>
        <v>1.4959965017062868</v>
      </c>
      <c r="L21">
        <f t="shared" si="14"/>
        <v>0.74799825085390481</v>
      </c>
      <c r="M21">
        <f t="shared" si="14"/>
        <v>0.74799825085390481</v>
      </c>
      <c r="N21">
        <f t="shared" si="14"/>
        <v>0</v>
      </c>
    </row>
    <row r="22" spans="1:14" x14ac:dyDescent="0.45">
      <c r="A22" s="5">
        <f t="shared" si="9"/>
        <v>59</v>
      </c>
      <c r="B22" s="5">
        <f t="shared" si="10"/>
        <v>57.166666666665691</v>
      </c>
      <c r="C22" s="5">
        <f t="shared" si="11"/>
        <v>1.0327955589865434</v>
      </c>
      <c r="D22" s="5">
        <f>AVERAGE(D16:D21)</f>
        <v>1.0463733679387113</v>
      </c>
      <c r="E22" s="5">
        <f>STDEV(D16:D21)</f>
        <v>3.0042805007150824E-4</v>
      </c>
    </row>
    <row r="23" spans="1:14" ht="14.65" thickBot="1" x14ac:dyDescent="0.5"/>
    <row r="24" spans="1:14" ht="15" thickTop="1" thickBot="1" x14ac:dyDescent="0.5">
      <c r="A24" s="1" t="s">
        <v>11</v>
      </c>
      <c r="B24" s="1"/>
      <c r="D24" t="s">
        <v>15</v>
      </c>
    </row>
    <row r="25" spans="1:14" ht="14.65" thickTop="1" x14ac:dyDescent="0.45">
      <c r="D25" t="s">
        <v>0</v>
      </c>
      <c r="E25" t="s">
        <v>1</v>
      </c>
      <c r="F25" t="s">
        <v>2</v>
      </c>
      <c r="G25" t="s">
        <v>17</v>
      </c>
      <c r="H25" t="s">
        <v>9</v>
      </c>
    </row>
    <row r="26" spans="1:14" x14ac:dyDescent="0.45">
      <c r="D26">
        <v>178</v>
      </c>
      <c r="E26">
        <v>41</v>
      </c>
      <c r="F26">
        <v>1</v>
      </c>
      <c r="G26">
        <f>0.0175*(D26+E26/60)</f>
        <v>3.1269583333333335</v>
      </c>
      <c r="H26">
        <f>0.0175*(F26/60)</f>
        <v>2.9166666666666669E-4</v>
      </c>
    </row>
    <row r="27" spans="1:14" x14ac:dyDescent="0.45">
      <c r="D27">
        <v>358</v>
      </c>
      <c r="E27">
        <v>43</v>
      </c>
      <c r="F27">
        <v>1</v>
      </c>
      <c r="G27">
        <f>0.0175*(D27+E27/60)-2*PI()</f>
        <v>-5.6436405129192124E-3</v>
      </c>
      <c r="H27">
        <f>0.0175*(F27/60)</f>
        <v>2.9166666666666669E-4</v>
      </c>
    </row>
    <row r="28" spans="1:14" x14ac:dyDescent="0.45">
      <c r="A28" t="s">
        <v>27</v>
      </c>
    </row>
    <row r="29" spans="1:14" x14ac:dyDescent="0.45">
      <c r="A29" t="s">
        <v>12</v>
      </c>
      <c r="B29" t="s">
        <v>13</v>
      </c>
    </row>
    <row r="30" spans="1:14" x14ac:dyDescent="0.45">
      <c r="A30">
        <f>0.00000040463</f>
        <v>4.0462999999999999E-7</v>
      </c>
      <c r="B30">
        <f>0.000000000395</f>
        <v>3.9499999999999998E-10</v>
      </c>
    </row>
    <row r="32" spans="1:14" x14ac:dyDescent="0.45">
      <c r="A32" t="s">
        <v>19</v>
      </c>
      <c r="H32" t="s">
        <v>14</v>
      </c>
      <c r="N32" t="s">
        <v>22</v>
      </c>
    </row>
    <row r="33" spans="1:17" x14ac:dyDescent="0.45">
      <c r="A33" t="s">
        <v>0</v>
      </c>
      <c r="B33" t="s">
        <v>1</v>
      </c>
      <c r="C33" t="s">
        <v>2</v>
      </c>
      <c r="D33" t="s">
        <v>3</v>
      </c>
      <c r="E33" t="s">
        <v>4</v>
      </c>
      <c r="H33" t="s">
        <v>0</v>
      </c>
      <c r="I33" t="s">
        <v>1</v>
      </c>
      <c r="J33" t="s">
        <v>2</v>
      </c>
      <c r="K33" t="s">
        <v>18</v>
      </c>
      <c r="L33" t="s">
        <v>4</v>
      </c>
      <c r="N33" t="s">
        <v>23</v>
      </c>
      <c r="O33" t="s">
        <v>2</v>
      </c>
      <c r="P33">
        <f>0.5* COS(($D$22+K40)/2)*1/(SIN($D$22/2))</f>
        <v>0.38819526384544623</v>
      </c>
      <c r="Q33">
        <f>SIN(-K40/2)/(2*SIN(D22/2)^2)</f>
        <v>-1.2108871480675114</v>
      </c>
    </row>
    <row r="34" spans="1:17" x14ac:dyDescent="0.45">
      <c r="A34">
        <v>104</v>
      </c>
      <c r="B34">
        <v>29</v>
      </c>
      <c r="C34">
        <v>1</v>
      </c>
      <c r="D34">
        <f>0.0175*(A34+B34/60)</f>
        <v>1.8284583333333335</v>
      </c>
      <c r="E34">
        <f>0.0175*(C34/60)</f>
        <v>2.9166666666666669E-4</v>
      </c>
      <c r="H34">
        <f>INT(DEGREES(K34))</f>
        <v>74</v>
      </c>
      <c r="I34">
        <f>60*(DEGREES(K34)-INT(DEGREES(K34)))</f>
        <v>23.914181864244028</v>
      </c>
      <c r="J34">
        <f>2</f>
        <v>2</v>
      </c>
      <c r="K34">
        <f>ABS(D34-$G$26)</f>
        <v>1.2985</v>
      </c>
      <c r="L34">
        <f>0.0175*(J34/60)</f>
        <v>5.8333333333333338E-4</v>
      </c>
      <c r="N34">
        <f>SIN(0.5*(K40+$D$22))/SIN($D$22/2)</f>
        <v>1.8447044905675167</v>
      </c>
      <c r="O34">
        <f>SQRT(P33^2*L40^2 + Q33^2*$E$21^2)</f>
        <v>7.41761319630177E-4</v>
      </c>
    </row>
    <row r="35" spans="1:17" x14ac:dyDescent="0.45">
      <c r="A35">
        <v>104</v>
      </c>
      <c r="B35">
        <v>30</v>
      </c>
      <c r="C35">
        <v>1</v>
      </c>
      <c r="D35">
        <f t="shared" ref="D35:D39" si="15">0.0175*(A35+B35/60)</f>
        <v>1.8287500000000001</v>
      </c>
      <c r="E35">
        <f t="shared" ref="E35:E39" si="16">0.0175*(C35/60)</f>
        <v>2.9166666666666669E-4</v>
      </c>
      <c r="H35">
        <f t="shared" ref="H35:H39" si="17">INT(DEGREES(K35))</f>
        <v>74</v>
      </c>
      <c r="I35">
        <f t="shared" ref="I35:I39" si="18">60*(DEGREES(K35)-INT(DEGREES(K35)))</f>
        <v>22.911505722764787</v>
      </c>
      <c r="J35">
        <f>2</f>
        <v>2</v>
      </c>
      <c r="K35">
        <f t="shared" ref="K35:K36" si="19">ABS(D35-$G$26)</f>
        <v>1.2982083333333334</v>
      </c>
      <c r="L35">
        <f t="shared" ref="L35:L39" si="20">0.0175*(J35/60)</f>
        <v>5.8333333333333338E-4</v>
      </c>
    </row>
    <row r="36" spans="1:17" x14ac:dyDescent="0.45">
      <c r="A36">
        <v>104</v>
      </c>
      <c r="B36">
        <v>31.5</v>
      </c>
      <c r="C36">
        <v>1</v>
      </c>
      <c r="D36">
        <f t="shared" si="15"/>
        <v>1.8291875000000002</v>
      </c>
      <c r="E36">
        <f t="shared" si="16"/>
        <v>2.9166666666666669E-4</v>
      </c>
      <c r="H36">
        <f t="shared" si="17"/>
        <v>74</v>
      </c>
      <c r="I36">
        <f t="shared" si="18"/>
        <v>21.407491510546777</v>
      </c>
      <c r="J36">
        <f>2</f>
        <v>2</v>
      </c>
      <c r="K36">
        <f t="shared" si="19"/>
        <v>1.2977708333333333</v>
      </c>
      <c r="L36">
        <f t="shared" si="20"/>
        <v>5.8333333333333338E-4</v>
      </c>
    </row>
    <row r="37" spans="1:17" x14ac:dyDescent="0.45">
      <c r="A37">
        <v>252</v>
      </c>
      <c r="B37">
        <v>53</v>
      </c>
      <c r="C37">
        <v>1</v>
      </c>
      <c r="D37">
        <f t="shared" si="15"/>
        <v>4.4254583333333333</v>
      </c>
      <c r="E37">
        <f t="shared" si="16"/>
        <v>2.9166666666666669E-4</v>
      </c>
      <c r="H37">
        <f t="shared" si="17"/>
        <v>74</v>
      </c>
      <c r="I37">
        <f>60*(DEGREES(K37)-INT(DEGREES(K37)))</f>
        <v>23.914181864243176</v>
      </c>
      <c r="J37">
        <f>2</f>
        <v>2</v>
      </c>
      <c r="K37">
        <f>ABS(D37-$G$26)</f>
        <v>1.2984999999999998</v>
      </c>
      <c r="L37">
        <f t="shared" si="20"/>
        <v>5.8333333333333338E-4</v>
      </c>
    </row>
    <row r="38" spans="1:17" x14ac:dyDescent="0.45">
      <c r="A38">
        <v>252</v>
      </c>
      <c r="B38">
        <v>54</v>
      </c>
      <c r="C38">
        <v>1</v>
      </c>
      <c r="D38">
        <f t="shared" si="15"/>
        <v>4.4257500000000007</v>
      </c>
      <c r="E38">
        <f t="shared" si="16"/>
        <v>2.9166666666666669E-4</v>
      </c>
      <c r="H38">
        <f t="shared" si="17"/>
        <v>74</v>
      </c>
      <c r="I38">
        <f t="shared" si="18"/>
        <v>24.916858005724976</v>
      </c>
      <c r="J38">
        <f>2</f>
        <v>2</v>
      </c>
      <c r="K38">
        <f>ABS(D38-$G$26)</f>
        <v>1.2987916666666672</v>
      </c>
      <c r="L38">
        <f t="shared" si="20"/>
        <v>5.8333333333333338E-4</v>
      </c>
    </row>
    <row r="39" spans="1:17" x14ac:dyDescent="0.45">
      <c r="A39">
        <v>252</v>
      </c>
      <c r="B39">
        <v>55</v>
      </c>
      <c r="C39">
        <v>1</v>
      </c>
      <c r="D39">
        <f t="shared" si="15"/>
        <v>4.4260416666666673</v>
      </c>
      <c r="E39">
        <f t="shared" si="16"/>
        <v>2.9166666666666669E-4</v>
      </c>
      <c r="H39">
        <f t="shared" si="17"/>
        <v>74</v>
      </c>
      <c r="I39">
        <f t="shared" si="18"/>
        <v>25.919534147203365</v>
      </c>
      <c r="J39">
        <f>2</f>
        <v>2</v>
      </c>
      <c r="K39">
        <f>ABS(D39-$G$26)</f>
        <v>1.2990833333333338</v>
      </c>
      <c r="L39">
        <f t="shared" si="20"/>
        <v>5.8333333333333338E-4</v>
      </c>
    </row>
    <row r="40" spans="1:17" x14ac:dyDescent="0.45">
      <c r="K40">
        <f>AVERAGE(K34:K39)</f>
        <v>1.2984756944444447</v>
      </c>
      <c r="L40">
        <f>L39</f>
        <v>5.8333333333333338E-4</v>
      </c>
    </row>
    <row r="41" spans="1:17" x14ac:dyDescent="0.45">
      <c r="A41" t="s">
        <v>28</v>
      </c>
    </row>
    <row r="42" spans="1:17" x14ac:dyDescent="0.45">
      <c r="A42" t="s">
        <v>12</v>
      </c>
      <c r="B42" t="s">
        <v>13</v>
      </c>
    </row>
    <row r="43" spans="1:17" x14ac:dyDescent="0.45">
      <c r="A43">
        <f>0.0000004078</f>
        <v>4.0779999999999999E-7</v>
      </c>
      <c r="B43">
        <v>3.0099999999999999E-10</v>
      </c>
    </row>
    <row r="45" spans="1:17" x14ac:dyDescent="0.45">
      <c r="A45" t="s">
        <v>19</v>
      </c>
      <c r="H45" t="s">
        <v>14</v>
      </c>
      <c r="N45" t="s">
        <v>22</v>
      </c>
    </row>
    <row r="46" spans="1:17" x14ac:dyDescent="0.45">
      <c r="A46" t="s">
        <v>0</v>
      </c>
      <c r="B46" t="s">
        <v>1</v>
      </c>
      <c r="C46" t="s">
        <v>2</v>
      </c>
      <c r="D46" t="s">
        <v>18</v>
      </c>
      <c r="E46" t="s">
        <v>4</v>
      </c>
      <c r="H46" t="s">
        <v>0</v>
      </c>
      <c r="I46" t="s">
        <v>1</v>
      </c>
      <c r="J46" t="s">
        <v>2</v>
      </c>
      <c r="K46" t="s">
        <v>18</v>
      </c>
      <c r="L46" t="s">
        <v>4</v>
      </c>
      <c r="N46" t="s">
        <v>23</v>
      </c>
      <c r="O46" t="s">
        <v>2</v>
      </c>
      <c r="P46">
        <f>0.5* COS(($D$22+K53)/2)*1/(SIN($D$22/2))</f>
        <v>0.39064868815420528</v>
      </c>
      <c r="Q46">
        <f>SIN(-K53/2)/(2*SIN(D22/2)^2)</f>
        <v>-1.2066368630130377</v>
      </c>
    </row>
    <row r="47" spans="1:17" x14ac:dyDescent="0.45">
      <c r="A47">
        <v>104</v>
      </c>
      <c r="B47">
        <v>47</v>
      </c>
      <c r="C47">
        <v>1</v>
      </c>
      <c r="D47">
        <f t="shared" ref="D47:D52" si="21">0.0175*(A47+B47/60)</f>
        <v>1.8337083333333335</v>
      </c>
      <c r="E47">
        <f t="shared" ref="E47:E52" si="22">0.0175*(C47/60)</f>
        <v>2.9166666666666669E-4</v>
      </c>
      <c r="H47">
        <f>INT(DEGREES(K47))</f>
        <v>74</v>
      </c>
      <c r="I47">
        <f>60*(DEGREES(K47)-INT(DEGREES(K47)))</f>
        <v>5.8660113176227924</v>
      </c>
      <c r="J47">
        <f>2</f>
        <v>2</v>
      </c>
      <c r="K47">
        <f>ABS(D47-$G$26)</f>
        <v>1.29325</v>
      </c>
      <c r="L47">
        <f>0.0175*(J47/60)</f>
        <v>5.8333333333333338E-4</v>
      </c>
      <c r="N47">
        <f>SIN(0.5*(K53+$D$22))/SIN($D$22/2)</f>
        <v>1.8426316286175319</v>
      </c>
      <c r="O47">
        <f>SQRT(P46^2*L53^2 + Q46^2*$E$21^2)</f>
        <v>7.398402930146326E-4</v>
      </c>
    </row>
    <row r="48" spans="1:17" x14ac:dyDescent="0.45">
      <c r="A48">
        <v>104</v>
      </c>
      <c r="B48">
        <v>49</v>
      </c>
      <c r="C48">
        <v>1</v>
      </c>
      <c r="D48">
        <f t="shared" si="21"/>
        <v>1.8342916666666669</v>
      </c>
      <c r="E48">
        <f t="shared" si="22"/>
        <v>2.9166666666666669E-4</v>
      </c>
      <c r="H48">
        <f t="shared" ref="H48:H52" si="23">INT(DEGREES(K48))</f>
        <v>74</v>
      </c>
      <c r="I48">
        <f t="shared" ref="I48:I49" si="24">60*(DEGREES(K48)-INT(DEGREES(K48)))</f>
        <v>3.8606590346651615</v>
      </c>
      <c r="J48">
        <f>2</f>
        <v>2</v>
      </c>
      <c r="K48">
        <f t="shared" ref="K48:K49" si="25">ABS(D48-$G$26)</f>
        <v>1.2926666666666666</v>
      </c>
      <c r="L48">
        <f t="shared" ref="L48:L52" si="26">0.0175*(J48/60)</f>
        <v>5.8333333333333338E-4</v>
      </c>
    </row>
    <row r="49" spans="1:17" x14ac:dyDescent="0.45">
      <c r="A49">
        <v>104</v>
      </c>
      <c r="B49">
        <v>47</v>
      </c>
      <c r="C49">
        <v>1</v>
      </c>
      <c r="D49">
        <f t="shared" si="21"/>
        <v>1.8337083333333335</v>
      </c>
      <c r="E49">
        <f t="shared" si="22"/>
        <v>2.9166666666666669E-4</v>
      </c>
      <c r="H49">
        <f t="shared" si="23"/>
        <v>74</v>
      </c>
      <c r="I49">
        <f t="shared" si="24"/>
        <v>5.8660113176227924</v>
      </c>
      <c r="J49">
        <f>2</f>
        <v>2</v>
      </c>
      <c r="K49">
        <f t="shared" si="25"/>
        <v>1.29325</v>
      </c>
      <c r="L49">
        <f t="shared" si="26"/>
        <v>5.8333333333333338E-4</v>
      </c>
    </row>
    <row r="50" spans="1:17" x14ac:dyDescent="0.45">
      <c r="A50">
        <v>252</v>
      </c>
      <c r="B50">
        <v>34</v>
      </c>
      <c r="C50">
        <v>1</v>
      </c>
      <c r="D50">
        <f t="shared" si="21"/>
        <v>4.4199166666666674</v>
      </c>
      <c r="E50">
        <f t="shared" si="22"/>
        <v>2.9166666666666669E-4</v>
      </c>
      <c r="H50">
        <f t="shared" si="23"/>
        <v>74</v>
      </c>
      <c r="I50">
        <f>60*(DEGREES(K50)-INT(DEGREES(K50)))</f>
        <v>4.8633351761461086</v>
      </c>
      <c r="J50">
        <f>2</f>
        <v>2</v>
      </c>
      <c r="K50">
        <f>ABS(D50-$G$26)</f>
        <v>1.2929583333333339</v>
      </c>
      <c r="L50">
        <f t="shared" si="26"/>
        <v>5.8333333333333338E-4</v>
      </c>
    </row>
    <row r="51" spans="1:17" x14ac:dyDescent="0.45">
      <c r="A51" s="13">
        <v>252</v>
      </c>
      <c r="B51" s="13">
        <v>36</v>
      </c>
      <c r="C51">
        <v>1</v>
      </c>
      <c r="D51">
        <f t="shared" si="21"/>
        <v>4.4205000000000005</v>
      </c>
      <c r="E51">
        <f t="shared" si="22"/>
        <v>2.9166666666666669E-4</v>
      </c>
      <c r="H51">
        <f t="shared" si="23"/>
        <v>74</v>
      </c>
      <c r="I51">
        <f t="shared" ref="I51:I52" si="27">60*(DEGREES(K51)-INT(DEGREES(K51)))</f>
        <v>6.8686874591028868</v>
      </c>
      <c r="J51">
        <f>2</f>
        <v>2</v>
      </c>
      <c r="K51">
        <f>ABS(D51-$G$26)</f>
        <v>1.293541666666667</v>
      </c>
      <c r="L51">
        <f t="shared" si="26"/>
        <v>5.8333333333333338E-4</v>
      </c>
    </row>
    <row r="52" spans="1:17" x14ac:dyDescent="0.45">
      <c r="A52">
        <v>252</v>
      </c>
      <c r="B52">
        <v>35</v>
      </c>
      <c r="C52">
        <v>1</v>
      </c>
      <c r="D52">
        <f t="shared" si="21"/>
        <v>4.420208333333334</v>
      </c>
      <c r="E52">
        <f t="shared" si="22"/>
        <v>2.9166666666666669E-4</v>
      </c>
      <c r="H52">
        <f t="shared" si="23"/>
        <v>74</v>
      </c>
      <c r="I52">
        <f t="shared" si="27"/>
        <v>5.8660113176244977</v>
      </c>
      <c r="J52">
        <f>2</f>
        <v>2</v>
      </c>
      <c r="K52">
        <f>ABS(D52-$G$26)</f>
        <v>1.2932500000000005</v>
      </c>
      <c r="L52">
        <f t="shared" si="26"/>
        <v>5.8333333333333338E-4</v>
      </c>
    </row>
    <row r="53" spans="1:17" x14ac:dyDescent="0.45">
      <c r="K53">
        <f>AVERAGE(K47:K52)</f>
        <v>1.293152777777778</v>
      </c>
      <c r="L53">
        <f>L52</f>
        <v>5.8333333333333338E-4</v>
      </c>
    </row>
    <row r="55" spans="1:17" x14ac:dyDescent="0.45">
      <c r="A55" t="s">
        <v>29</v>
      </c>
    </row>
    <row r="56" spans="1:17" x14ac:dyDescent="0.45">
      <c r="A56" t="s">
        <v>12</v>
      </c>
      <c r="B56" t="s">
        <v>13</v>
      </c>
    </row>
    <row r="57" spans="1:17" x14ac:dyDescent="0.45">
      <c r="A57">
        <f>0.00000043583</f>
        <v>4.3583000000000001E-7</v>
      </c>
      <c r="B57">
        <v>5.0100000000000003E-10</v>
      </c>
    </row>
    <row r="59" spans="1:17" x14ac:dyDescent="0.45">
      <c r="A59" t="s">
        <v>19</v>
      </c>
      <c r="H59" t="s">
        <v>14</v>
      </c>
      <c r="N59" t="s">
        <v>22</v>
      </c>
    </row>
    <row r="60" spans="1:17" x14ac:dyDescent="0.45">
      <c r="A60" t="s">
        <v>0</v>
      </c>
      <c r="B60" t="s">
        <v>1</v>
      </c>
      <c r="C60" t="s">
        <v>2</v>
      </c>
      <c r="D60" t="s">
        <v>18</v>
      </c>
      <c r="E60" t="s">
        <v>4</v>
      </c>
      <c r="H60" t="s">
        <v>0</v>
      </c>
      <c r="I60" t="s">
        <v>1</v>
      </c>
      <c r="J60" t="s">
        <v>2</v>
      </c>
      <c r="K60" t="s">
        <v>18</v>
      </c>
      <c r="L60" t="s">
        <v>4</v>
      </c>
      <c r="N60" t="s">
        <v>23</v>
      </c>
      <c r="O60" t="s">
        <v>2</v>
      </c>
      <c r="P60">
        <f>0.5* COS(($D$22+K67)/2)*1/(SIN($D$22/2))</f>
        <v>0.40779973875639886</v>
      </c>
      <c r="Q60">
        <f>SIN(-K67/2)/(2*SIN(D22/2)^2)</f>
        <v>-1.1765487567409849</v>
      </c>
    </row>
    <row r="61" spans="1:17" x14ac:dyDescent="0.45">
      <c r="A61">
        <v>106</v>
      </c>
      <c r="B61">
        <v>55</v>
      </c>
      <c r="C61">
        <v>1</v>
      </c>
      <c r="D61">
        <f t="shared" ref="D61:D66" si="28">0.0175*(A61+B61/60)</f>
        <v>1.8710416666666669</v>
      </c>
      <c r="E61">
        <f t="shared" ref="E61:E66" si="29">0.0175*(C61/60)</f>
        <v>2.9166666666666669E-4</v>
      </c>
      <c r="H61">
        <f>INT(DEGREES(K61))</f>
        <v>71</v>
      </c>
      <c r="I61">
        <f>60*(DEGREES(K61)-INT(DEGREES(K61)))</f>
        <v>57.523465208318214</v>
      </c>
      <c r="J61">
        <f>2</f>
        <v>2</v>
      </c>
      <c r="K61">
        <f>ABS(D61-$G$26)</f>
        <v>1.2559166666666666</v>
      </c>
      <c r="L61">
        <f>0.0175*(J61/60)</f>
        <v>5.8333333333333338E-4</v>
      </c>
      <c r="N61">
        <f>SIN(0.5*(K67+$D$22))/SIN($D$22/2)</f>
        <v>1.8277074167625831</v>
      </c>
      <c r="O61">
        <f>SQRT(P60^2*L67^2 + Q60^2*$E$21^2)</f>
        <v>7.2637710492251604E-4</v>
      </c>
    </row>
    <row r="62" spans="1:17" x14ac:dyDescent="0.45">
      <c r="A62">
        <v>106</v>
      </c>
      <c r="B62">
        <v>56</v>
      </c>
      <c r="C62">
        <v>1</v>
      </c>
      <c r="D62">
        <f t="shared" si="28"/>
        <v>1.8713333333333335</v>
      </c>
      <c r="E62">
        <f t="shared" si="29"/>
        <v>2.9166666666666669E-4</v>
      </c>
      <c r="H62">
        <f t="shared" ref="H62:H66" si="30">INT(DEGREES(K62))</f>
        <v>71</v>
      </c>
      <c r="I62">
        <f t="shared" ref="I62:I63" si="31">60*(DEGREES(K62)-INT(DEGREES(K62)))</f>
        <v>56.520789066839825</v>
      </c>
      <c r="J62">
        <f>2</f>
        <v>2</v>
      </c>
      <c r="K62">
        <f t="shared" ref="K62:K63" si="32">ABS(D62-$G$26)</f>
        <v>1.255625</v>
      </c>
      <c r="L62">
        <f t="shared" ref="L62:L66" si="33">0.0175*(J62/60)</f>
        <v>5.8333333333333338E-4</v>
      </c>
    </row>
    <row r="63" spans="1:17" x14ac:dyDescent="0.45">
      <c r="A63">
        <v>106</v>
      </c>
      <c r="B63">
        <v>57</v>
      </c>
      <c r="C63">
        <v>1</v>
      </c>
      <c r="D63">
        <f t="shared" si="28"/>
        <v>1.8716250000000003</v>
      </c>
      <c r="E63">
        <f t="shared" si="29"/>
        <v>2.9166666666666669E-4</v>
      </c>
      <c r="H63">
        <f t="shared" si="30"/>
        <v>71</v>
      </c>
      <c r="I63">
        <f t="shared" si="31"/>
        <v>55.518112925359731</v>
      </c>
      <c r="J63">
        <f>2</f>
        <v>2</v>
      </c>
      <c r="K63">
        <f t="shared" si="32"/>
        <v>1.2553333333333332</v>
      </c>
      <c r="L63">
        <f t="shared" si="33"/>
        <v>5.8333333333333338E-4</v>
      </c>
    </row>
    <row r="64" spans="1:17" x14ac:dyDescent="0.45">
      <c r="A64">
        <v>250</v>
      </c>
      <c r="B64">
        <v>26</v>
      </c>
      <c r="C64">
        <v>1</v>
      </c>
      <c r="D64">
        <f t="shared" si="28"/>
        <v>4.3825833333333337</v>
      </c>
      <c r="E64">
        <f t="shared" si="29"/>
        <v>2.9166666666666669E-4</v>
      </c>
      <c r="H64">
        <f t="shared" si="30"/>
        <v>71</v>
      </c>
      <c r="I64">
        <f>60*(DEGREES(K64)-INT(DEGREES(K64)))</f>
        <v>56.520789066839825</v>
      </c>
      <c r="J64">
        <f>2</f>
        <v>2</v>
      </c>
      <c r="K64">
        <f>ABS(D64-$G$26)</f>
        <v>1.2556250000000002</v>
      </c>
      <c r="L64">
        <f t="shared" si="33"/>
        <v>5.8333333333333338E-4</v>
      </c>
    </row>
    <row r="65" spans="1:17" x14ac:dyDescent="0.45">
      <c r="A65" s="13">
        <v>250</v>
      </c>
      <c r="B65" s="13">
        <v>28</v>
      </c>
      <c r="C65">
        <v>1</v>
      </c>
      <c r="D65">
        <f t="shared" si="28"/>
        <v>4.3831666666666669</v>
      </c>
      <c r="E65">
        <f t="shared" si="29"/>
        <v>2.9166666666666669E-4</v>
      </c>
      <c r="H65">
        <f t="shared" si="30"/>
        <v>71</v>
      </c>
      <c r="I65">
        <f t="shared" ref="I65:I66" si="34">60*(DEGREES(K65)-INT(DEGREES(K65)))</f>
        <v>58.526141349797456</v>
      </c>
      <c r="J65">
        <f>2</f>
        <v>2</v>
      </c>
      <c r="K65">
        <f>ABS(D65-$G$26)</f>
        <v>1.2562083333333334</v>
      </c>
      <c r="L65">
        <f t="shared" si="33"/>
        <v>5.8333333333333338E-4</v>
      </c>
    </row>
    <row r="66" spans="1:17" x14ac:dyDescent="0.45">
      <c r="A66">
        <v>250</v>
      </c>
      <c r="B66">
        <v>27</v>
      </c>
      <c r="C66">
        <v>1</v>
      </c>
      <c r="D66">
        <f t="shared" si="28"/>
        <v>4.3828750000000003</v>
      </c>
      <c r="E66">
        <f t="shared" si="29"/>
        <v>2.9166666666666669E-4</v>
      </c>
      <c r="H66">
        <f t="shared" si="30"/>
        <v>71</v>
      </c>
      <c r="I66">
        <f t="shared" si="34"/>
        <v>57.523465208319067</v>
      </c>
      <c r="J66">
        <f>2</f>
        <v>2</v>
      </c>
      <c r="K66">
        <f>ABS(D66-$G$26)</f>
        <v>1.2559166666666668</v>
      </c>
      <c r="L66">
        <f t="shared" si="33"/>
        <v>5.8333333333333338E-4</v>
      </c>
    </row>
    <row r="67" spans="1:17" x14ac:dyDescent="0.45">
      <c r="K67">
        <f>AVERAGE(K61:K66)</f>
        <v>1.2557708333333333</v>
      </c>
      <c r="L67">
        <f>L66</f>
        <v>5.8333333333333338E-4</v>
      </c>
    </row>
    <row r="69" spans="1:17" x14ac:dyDescent="0.45">
      <c r="A69" t="s">
        <v>30</v>
      </c>
    </row>
    <row r="70" spans="1:17" x14ac:dyDescent="0.45">
      <c r="A70" t="s">
        <v>12</v>
      </c>
      <c r="B70" t="s">
        <v>13</v>
      </c>
    </row>
    <row r="71" spans="1:17" x14ac:dyDescent="0.45">
      <c r="A71">
        <f>0.00000049228</f>
        <v>4.9228000000000001E-7</v>
      </c>
      <c r="B71">
        <v>5.0000000000000003E-10</v>
      </c>
    </row>
    <row r="73" spans="1:17" x14ac:dyDescent="0.45">
      <c r="A73" t="s">
        <v>19</v>
      </c>
      <c r="H73" t="s">
        <v>14</v>
      </c>
      <c r="N73" t="s">
        <v>22</v>
      </c>
    </row>
    <row r="74" spans="1:17" x14ac:dyDescent="0.45">
      <c r="A74" t="s">
        <v>0</v>
      </c>
      <c r="B74" t="s">
        <v>1</v>
      </c>
      <c r="C74" t="s">
        <v>2</v>
      </c>
      <c r="D74" t="s">
        <v>18</v>
      </c>
      <c r="E74" t="s">
        <v>4</v>
      </c>
      <c r="H74" t="s">
        <v>0</v>
      </c>
      <c r="I74" t="s">
        <v>1</v>
      </c>
      <c r="J74" t="s">
        <v>2</v>
      </c>
      <c r="K74" t="s">
        <v>18</v>
      </c>
      <c r="L74" t="s">
        <v>4</v>
      </c>
      <c r="N74" t="s">
        <v>23</v>
      </c>
      <c r="O74" t="s">
        <v>2</v>
      </c>
      <c r="P74">
        <f>0.5* COS(($D$22+K81)/2)*1/(SIN($D$22/2))</f>
        <v>0.42986685956982396</v>
      </c>
      <c r="Q74">
        <f>SIN(-K81/2)/(2*SIN(D22/2)^2)</f>
        <v>-1.1368493906397061</v>
      </c>
    </row>
    <row r="75" spans="1:17" x14ac:dyDescent="0.45">
      <c r="A75">
        <v>109</v>
      </c>
      <c r="B75">
        <v>43</v>
      </c>
      <c r="C75">
        <v>1</v>
      </c>
      <c r="D75">
        <f t="shared" ref="D75:D80" si="35">0.0175*(A75+B75/60)</f>
        <v>1.9200416666666669</v>
      </c>
      <c r="E75">
        <f t="shared" ref="E75:E80" si="36">0.0175*(C75/60)</f>
        <v>2.9166666666666669E-4</v>
      </c>
      <c r="H75">
        <f>INT(DEGREES(K75))</f>
        <v>69</v>
      </c>
      <c r="I75">
        <f>60*(DEGREES(K75)-INT(DEGREES(K75)))</f>
        <v>9.0738734398559018</v>
      </c>
      <c r="J75">
        <f>2</f>
        <v>2</v>
      </c>
      <c r="K75">
        <f>ABS(D75-$G$26)</f>
        <v>1.2069166666666666</v>
      </c>
      <c r="L75">
        <f>0.0175*(J75/60)</f>
        <v>5.8333333333333338E-4</v>
      </c>
      <c r="N75">
        <f>SIN(0.5*(K81+$D$22))/SIN($D$22/2)</f>
        <v>1.8073668252965176</v>
      </c>
      <c r="O75">
        <f>SQRT(P74^2*L81^2 + Q74^2*$E$21^2)</f>
        <v>7.0898690751389334E-4</v>
      </c>
    </row>
    <row r="76" spans="1:17" x14ac:dyDescent="0.45">
      <c r="A76">
        <v>109</v>
      </c>
      <c r="B76">
        <v>44</v>
      </c>
      <c r="C76">
        <v>1</v>
      </c>
      <c r="D76">
        <f t="shared" si="35"/>
        <v>1.9203333333333334</v>
      </c>
      <c r="E76">
        <f t="shared" si="36"/>
        <v>2.9166666666666669E-4</v>
      </c>
      <c r="H76">
        <f t="shared" ref="H76:H80" si="37">INT(DEGREES(K76))</f>
        <v>69</v>
      </c>
      <c r="I76">
        <f t="shared" ref="I76:I77" si="38">60*(DEGREES(K76)-INT(DEGREES(K76)))</f>
        <v>8.0711972983775127</v>
      </c>
      <c r="J76">
        <f>2</f>
        <v>2</v>
      </c>
      <c r="K76">
        <f t="shared" ref="K76:K77" si="39">ABS(D76-$G$26)</f>
        <v>1.2066250000000001</v>
      </c>
      <c r="L76">
        <f t="shared" ref="L76:L80" si="40">0.0175*(J76/60)</f>
        <v>5.8333333333333338E-4</v>
      </c>
    </row>
    <row r="77" spans="1:17" x14ac:dyDescent="0.45">
      <c r="A77">
        <v>109</v>
      </c>
      <c r="B77">
        <v>42</v>
      </c>
      <c r="C77">
        <v>1</v>
      </c>
      <c r="D77">
        <f t="shared" si="35"/>
        <v>1.9197500000000003</v>
      </c>
      <c r="E77">
        <f t="shared" si="36"/>
        <v>2.9166666666666669E-4</v>
      </c>
      <c r="H77">
        <f t="shared" si="37"/>
        <v>69</v>
      </c>
      <c r="I77">
        <f t="shared" si="38"/>
        <v>10.076549581335144</v>
      </c>
      <c r="J77">
        <f>2</f>
        <v>2</v>
      </c>
      <c r="K77">
        <f t="shared" si="39"/>
        <v>1.2072083333333332</v>
      </c>
      <c r="L77">
        <f t="shared" si="40"/>
        <v>5.8333333333333338E-4</v>
      </c>
    </row>
    <row r="78" spans="1:17" x14ac:dyDescent="0.45">
      <c r="A78">
        <v>247</v>
      </c>
      <c r="B78">
        <v>40</v>
      </c>
      <c r="C78">
        <v>1</v>
      </c>
      <c r="D78">
        <f t="shared" si="35"/>
        <v>4.3341666666666665</v>
      </c>
      <c r="E78">
        <f t="shared" si="36"/>
        <v>2.9166666666666669E-4</v>
      </c>
      <c r="H78">
        <f t="shared" si="37"/>
        <v>69</v>
      </c>
      <c r="I78">
        <f>60*(DEGREES(K78)-INT(DEGREES(K78)))</f>
        <v>10.076549581334291</v>
      </c>
      <c r="J78">
        <f>2</f>
        <v>2</v>
      </c>
      <c r="K78">
        <f>ABS(D78-$G$26)</f>
        <v>1.207208333333333</v>
      </c>
      <c r="L78">
        <f t="shared" si="40"/>
        <v>5.8333333333333338E-4</v>
      </c>
    </row>
    <row r="79" spans="1:17" x14ac:dyDescent="0.45">
      <c r="A79">
        <v>247</v>
      </c>
      <c r="B79">
        <v>41</v>
      </c>
      <c r="C79">
        <v>1</v>
      </c>
      <c r="D79">
        <f t="shared" si="35"/>
        <v>4.334458333333334</v>
      </c>
      <c r="E79">
        <f t="shared" si="36"/>
        <v>2.9166666666666669E-4</v>
      </c>
      <c r="H79">
        <f t="shared" si="37"/>
        <v>69</v>
      </c>
      <c r="I79">
        <f t="shared" ref="I79:I80" si="41">60*(DEGREES(K79)-INT(DEGREES(K79)))</f>
        <v>11.079225722816091</v>
      </c>
      <c r="J79">
        <f>2</f>
        <v>2</v>
      </c>
      <c r="K79">
        <f>ABS(D79-$G$26)</f>
        <v>1.2075000000000005</v>
      </c>
      <c r="L79">
        <f t="shared" si="40"/>
        <v>5.8333333333333338E-4</v>
      </c>
    </row>
    <row r="80" spans="1:17" x14ac:dyDescent="0.45">
      <c r="A80">
        <v>247</v>
      </c>
      <c r="B80">
        <v>42</v>
      </c>
      <c r="C80">
        <v>1</v>
      </c>
      <c r="D80">
        <f t="shared" si="35"/>
        <v>4.3347500000000005</v>
      </c>
      <c r="E80">
        <f t="shared" si="36"/>
        <v>2.9166666666666669E-4</v>
      </c>
      <c r="H80">
        <f t="shared" si="37"/>
        <v>69</v>
      </c>
      <c r="I80">
        <f t="shared" si="41"/>
        <v>12.08190186429448</v>
      </c>
      <c r="J80">
        <f>2</f>
        <v>2</v>
      </c>
      <c r="K80">
        <f>ABS(D80-$G$26)</f>
        <v>1.207791666666667</v>
      </c>
      <c r="L80">
        <f t="shared" si="40"/>
        <v>5.8333333333333338E-4</v>
      </c>
    </row>
    <row r="81" spans="1:17" x14ac:dyDescent="0.45">
      <c r="K81">
        <f>AVERAGE(K75:K80)</f>
        <v>1.2072083333333334</v>
      </c>
      <c r="L81">
        <f>L80</f>
        <v>5.8333333333333338E-4</v>
      </c>
    </row>
    <row r="83" spans="1:17" x14ac:dyDescent="0.45">
      <c r="A83" t="s">
        <v>31</v>
      </c>
    </row>
    <row r="84" spans="1:17" x14ac:dyDescent="0.45">
      <c r="A84" t="s">
        <v>12</v>
      </c>
      <c r="B84" t="s">
        <v>13</v>
      </c>
    </row>
    <row r="85" spans="1:17" x14ac:dyDescent="0.45">
      <c r="A85">
        <f>0.00000049698</f>
        <v>4.9698000000000005E-7</v>
      </c>
      <c r="B85">
        <v>2.7399999999999998E-10</v>
      </c>
    </row>
    <row r="87" spans="1:17" x14ac:dyDescent="0.45">
      <c r="A87" t="s">
        <v>19</v>
      </c>
      <c r="H87" t="s">
        <v>14</v>
      </c>
      <c r="N87" t="s">
        <v>22</v>
      </c>
    </row>
    <row r="88" spans="1:17" x14ac:dyDescent="0.45">
      <c r="A88" t="s">
        <v>0</v>
      </c>
      <c r="B88" t="s">
        <v>1</v>
      </c>
      <c r="C88" t="s">
        <v>2</v>
      </c>
      <c r="D88" t="s">
        <v>18</v>
      </c>
      <c r="E88" t="s">
        <v>4</v>
      </c>
      <c r="H88" t="s">
        <v>0</v>
      </c>
      <c r="I88" t="s">
        <v>1</v>
      </c>
      <c r="J88" t="s">
        <v>2</v>
      </c>
      <c r="K88" t="s">
        <v>18</v>
      </c>
      <c r="L88" t="s">
        <v>4</v>
      </c>
      <c r="N88" t="s">
        <v>23</v>
      </c>
      <c r="O88" t="s">
        <v>2</v>
      </c>
      <c r="P88">
        <f>0.5* COS(($D$22+K95)/2)*1/(SIN($D$22/2))</f>
        <v>0.42986685956982396</v>
      </c>
      <c r="Q88">
        <f>SIN(-K95/2)/(2*SIN(D22/2)^2)</f>
        <v>-1.1368493906397061</v>
      </c>
    </row>
    <row r="89" spans="1:17" x14ac:dyDescent="0.45">
      <c r="A89">
        <v>109</v>
      </c>
      <c r="B89">
        <v>43</v>
      </c>
      <c r="C89">
        <v>1</v>
      </c>
      <c r="D89">
        <f t="shared" ref="D89:D94" si="42">0.0175*(A89+B89/60)</f>
        <v>1.9200416666666669</v>
      </c>
      <c r="E89">
        <f t="shared" ref="E89:E94" si="43">0.0175*(C89/60)</f>
        <v>2.9166666666666669E-4</v>
      </c>
      <c r="H89">
        <f>INT(DEGREES(K89))</f>
        <v>69</v>
      </c>
      <c r="I89">
        <f>60*(DEGREES(K89)-INT(DEGREES(K89)))</f>
        <v>9.0738734398559018</v>
      </c>
      <c r="J89">
        <f>2</f>
        <v>2</v>
      </c>
      <c r="K89">
        <f>ABS(D89-$G$26)</f>
        <v>1.2069166666666666</v>
      </c>
      <c r="L89">
        <f>0.0175*(J89/60)</f>
        <v>5.8333333333333338E-4</v>
      </c>
      <c r="N89">
        <f>SIN(0.5*(K95+$D$22))/SIN($D$22/2)</f>
        <v>1.8073668252965176</v>
      </c>
      <c r="O89">
        <f>SQRT(P88^2*L95^2 + Q88^2*$E$21^2)</f>
        <v>7.0898690751389334E-4</v>
      </c>
    </row>
    <row r="90" spans="1:17" x14ac:dyDescent="0.45">
      <c r="A90">
        <v>109</v>
      </c>
      <c r="B90">
        <v>44</v>
      </c>
      <c r="C90">
        <v>1</v>
      </c>
      <c r="D90">
        <f t="shared" si="42"/>
        <v>1.9203333333333334</v>
      </c>
      <c r="E90">
        <f t="shared" si="43"/>
        <v>2.9166666666666669E-4</v>
      </c>
      <c r="H90">
        <f t="shared" ref="H90:H94" si="44">INT(DEGREES(K90))</f>
        <v>69</v>
      </c>
      <c r="I90">
        <f t="shared" ref="I90:I91" si="45">60*(DEGREES(K90)-INT(DEGREES(K90)))</f>
        <v>8.0711972983775127</v>
      </c>
      <c r="J90">
        <f>2</f>
        <v>2</v>
      </c>
      <c r="K90">
        <f t="shared" ref="K90:K91" si="46">ABS(D90-$G$26)</f>
        <v>1.2066250000000001</v>
      </c>
      <c r="L90">
        <f t="shared" ref="L90:L94" si="47">0.0175*(J90/60)</f>
        <v>5.8333333333333338E-4</v>
      </c>
    </row>
    <row r="91" spans="1:17" x14ac:dyDescent="0.45">
      <c r="A91">
        <v>109</v>
      </c>
      <c r="B91">
        <v>42</v>
      </c>
      <c r="C91">
        <v>1</v>
      </c>
      <c r="D91">
        <f t="shared" si="42"/>
        <v>1.9197500000000003</v>
      </c>
      <c r="E91">
        <f t="shared" si="43"/>
        <v>2.9166666666666669E-4</v>
      </c>
      <c r="H91">
        <f t="shared" si="44"/>
        <v>69</v>
      </c>
      <c r="I91">
        <f t="shared" si="45"/>
        <v>10.076549581335144</v>
      </c>
      <c r="J91">
        <f>2</f>
        <v>2</v>
      </c>
      <c r="K91">
        <f t="shared" si="46"/>
        <v>1.2072083333333332</v>
      </c>
      <c r="L91">
        <f t="shared" si="47"/>
        <v>5.8333333333333338E-4</v>
      </c>
    </row>
    <row r="92" spans="1:17" x14ac:dyDescent="0.45">
      <c r="A92">
        <v>247</v>
      </c>
      <c r="B92">
        <v>40</v>
      </c>
      <c r="C92">
        <v>1</v>
      </c>
      <c r="D92">
        <f t="shared" si="42"/>
        <v>4.3341666666666665</v>
      </c>
      <c r="E92">
        <f t="shared" si="43"/>
        <v>2.9166666666666669E-4</v>
      </c>
      <c r="H92">
        <f t="shared" si="44"/>
        <v>69</v>
      </c>
      <c r="I92">
        <f>60*(DEGREES(K92)-INT(DEGREES(K92)))</f>
        <v>10.076549581334291</v>
      </c>
      <c r="J92">
        <f>2</f>
        <v>2</v>
      </c>
      <c r="K92">
        <f>ABS(D92-$G$26)</f>
        <v>1.207208333333333</v>
      </c>
      <c r="L92">
        <f t="shared" si="47"/>
        <v>5.8333333333333338E-4</v>
      </c>
    </row>
    <row r="93" spans="1:17" x14ac:dyDescent="0.45">
      <c r="A93">
        <v>247</v>
      </c>
      <c r="B93">
        <v>41</v>
      </c>
      <c r="C93">
        <v>1</v>
      </c>
      <c r="D93">
        <f t="shared" si="42"/>
        <v>4.334458333333334</v>
      </c>
      <c r="E93">
        <f t="shared" si="43"/>
        <v>2.9166666666666669E-4</v>
      </c>
      <c r="H93">
        <f t="shared" si="44"/>
        <v>69</v>
      </c>
      <c r="I93">
        <f t="shared" ref="I93:I94" si="48">60*(DEGREES(K93)-INT(DEGREES(K93)))</f>
        <v>11.079225722816091</v>
      </c>
      <c r="J93">
        <f>2</f>
        <v>2</v>
      </c>
      <c r="K93">
        <f>ABS(D93-$G$26)</f>
        <v>1.2075000000000005</v>
      </c>
      <c r="L93">
        <f t="shared" si="47"/>
        <v>5.8333333333333338E-4</v>
      </c>
    </row>
    <row r="94" spans="1:17" x14ac:dyDescent="0.45">
      <c r="A94">
        <v>247</v>
      </c>
      <c r="B94">
        <v>42</v>
      </c>
      <c r="C94">
        <v>1</v>
      </c>
      <c r="D94">
        <f t="shared" si="42"/>
        <v>4.3347500000000005</v>
      </c>
      <c r="E94">
        <f t="shared" si="43"/>
        <v>2.9166666666666669E-4</v>
      </c>
      <c r="H94">
        <f t="shared" si="44"/>
        <v>69</v>
      </c>
      <c r="I94">
        <f t="shared" si="48"/>
        <v>12.08190186429448</v>
      </c>
      <c r="J94">
        <f>2</f>
        <v>2</v>
      </c>
      <c r="K94">
        <f>ABS(D94-$G$26)</f>
        <v>1.207791666666667</v>
      </c>
      <c r="L94">
        <f t="shared" si="47"/>
        <v>5.8333333333333338E-4</v>
      </c>
    </row>
    <row r="95" spans="1:17" x14ac:dyDescent="0.45">
      <c r="K95">
        <f>AVERAGE(K89:K94)</f>
        <v>1.2072083333333334</v>
      </c>
      <c r="L95">
        <f>L94</f>
        <v>5.8333333333333338E-4</v>
      </c>
    </row>
    <row r="97" spans="1:17" x14ac:dyDescent="0.45">
      <c r="A97" t="s">
        <v>32</v>
      </c>
    </row>
    <row r="98" spans="1:17" x14ac:dyDescent="0.45">
      <c r="A98" t="s">
        <v>12</v>
      </c>
      <c r="B98" t="s">
        <v>13</v>
      </c>
    </row>
    <row r="99" spans="1:17" x14ac:dyDescent="0.45">
      <c r="A99">
        <f>0.00000054604</f>
        <v>5.4603999999999998E-7</v>
      </c>
      <c r="B99">
        <v>3E-10</v>
      </c>
    </row>
    <row r="101" spans="1:17" x14ac:dyDescent="0.45">
      <c r="A101" t="s">
        <v>19</v>
      </c>
      <c r="H101" t="s">
        <v>14</v>
      </c>
      <c r="N101" t="s">
        <v>22</v>
      </c>
    </row>
    <row r="102" spans="1:17" x14ac:dyDescent="0.45">
      <c r="A102" t="s">
        <v>0</v>
      </c>
      <c r="B102" t="s">
        <v>1</v>
      </c>
      <c r="C102" t="s">
        <v>2</v>
      </c>
      <c r="D102" t="s">
        <v>18</v>
      </c>
      <c r="E102" t="s">
        <v>4</v>
      </c>
      <c r="H102" t="s">
        <v>0</v>
      </c>
      <c r="I102" t="s">
        <v>1</v>
      </c>
      <c r="J102" t="s">
        <v>2</v>
      </c>
      <c r="K102" t="s">
        <v>18</v>
      </c>
      <c r="L102" t="s">
        <v>4</v>
      </c>
      <c r="N102" t="s">
        <v>23</v>
      </c>
      <c r="O102" t="s">
        <v>2</v>
      </c>
      <c r="P102">
        <f>0.5* COS(($D$22+K109)/2)*1/(SIN($D$22/2))</f>
        <v>0.44320658058067114</v>
      </c>
      <c r="Q102">
        <f>SIN(-K109/2)/(2*SIN(D22/2)^2)</f>
        <v>-1.1122976971467435</v>
      </c>
    </row>
    <row r="103" spans="1:17" x14ac:dyDescent="0.45">
      <c r="A103">
        <v>111</v>
      </c>
      <c r="B103">
        <v>24</v>
      </c>
      <c r="C103">
        <v>1</v>
      </c>
      <c r="D103">
        <f t="shared" ref="D103:D108" si="49">0.0175*(A103+B103/60)</f>
        <v>1.9495000000000002</v>
      </c>
      <c r="E103">
        <f t="shared" ref="E103:E108" si="50">0.0175*(C103/60)</f>
        <v>2.9166666666666669E-4</v>
      </c>
      <c r="H103">
        <f>INT(DEGREES(K103))</f>
        <v>67</v>
      </c>
      <c r="I103">
        <f>60*(DEGREES(K103)-INT(DEGREES(K103)))</f>
        <v>27.803583150483178</v>
      </c>
      <c r="J103">
        <f>2</f>
        <v>2</v>
      </c>
      <c r="K103">
        <f>ABS(D103-$G$26)</f>
        <v>1.1774583333333333</v>
      </c>
      <c r="L103">
        <f>0.0175*(J103/60)</f>
        <v>5.8333333333333338E-4</v>
      </c>
      <c r="N103">
        <f>SIN(0.5*(K109+$D$22))/SIN($D$22/2)</f>
        <v>1.794432672665113</v>
      </c>
      <c r="O103">
        <f>SQRT(P102^2*L109^2 + Q102^2*$E$21^2)</f>
        <v>6.984520273395962E-4</v>
      </c>
    </row>
    <row r="104" spans="1:17" x14ac:dyDescent="0.45">
      <c r="A104">
        <v>111</v>
      </c>
      <c r="B104">
        <v>25.5</v>
      </c>
      <c r="C104">
        <v>1</v>
      </c>
      <c r="D104">
        <f t="shared" si="49"/>
        <v>1.9499375000000001</v>
      </c>
      <c r="E104">
        <f t="shared" si="50"/>
        <v>2.9166666666666669E-4</v>
      </c>
      <c r="H104">
        <f t="shared" ref="H104:H108" si="51">INT(DEGREES(K104))</f>
        <v>67</v>
      </c>
      <c r="I104">
        <f t="shared" ref="I104:I105" si="52">60*(DEGREES(K104)-INT(DEGREES(K104)))</f>
        <v>26.299568938265168</v>
      </c>
      <c r="J104">
        <f>2</f>
        <v>2</v>
      </c>
      <c r="K104">
        <f t="shared" ref="K104:K105" si="53">ABS(D104-$G$26)</f>
        <v>1.1770208333333334</v>
      </c>
      <c r="L104">
        <f t="shared" ref="L104:L108" si="54">0.0175*(J104/60)</f>
        <v>5.8333333333333338E-4</v>
      </c>
    </row>
    <row r="105" spans="1:17" x14ac:dyDescent="0.45">
      <c r="A105">
        <v>111</v>
      </c>
      <c r="B105">
        <v>25</v>
      </c>
      <c r="C105">
        <v>1</v>
      </c>
      <c r="D105">
        <f t="shared" si="49"/>
        <v>1.949791666666667</v>
      </c>
      <c r="E105">
        <f t="shared" si="50"/>
        <v>2.9166666666666669E-4</v>
      </c>
      <c r="H105">
        <f t="shared" si="51"/>
        <v>67</v>
      </c>
      <c r="I105">
        <f t="shared" si="52"/>
        <v>26.800907009003936</v>
      </c>
      <c r="J105">
        <f>2</f>
        <v>2</v>
      </c>
      <c r="K105">
        <f t="shared" si="53"/>
        <v>1.1771666666666665</v>
      </c>
      <c r="L105">
        <f t="shared" si="54"/>
        <v>5.8333333333333338E-4</v>
      </c>
    </row>
    <row r="106" spans="1:17" x14ac:dyDescent="0.45">
      <c r="A106">
        <v>245</v>
      </c>
      <c r="B106" s="12">
        <v>59</v>
      </c>
      <c r="C106">
        <v>1</v>
      </c>
      <c r="D106">
        <f t="shared" si="49"/>
        <v>4.3047083333333331</v>
      </c>
      <c r="E106">
        <f t="shared" si="50"/>
        <v>2.9166666666666669E-4</v>
      </c>
      <c r="H106">
        <f t="shared" si="51"/>
        <v>67</v>
      </c>
      <c r="I106">
        <f>60*(DEGREES(K106)-INT(DEGREES(K106)))</f>
        <v>28.806259291960714</v>
      </c>
      <c r="J106">
        <f>2</f>
        <v>2</v>
      </c>
      <c r="K106">
        <f>ABS(D106-$G$26)</f>
        <v>1.1777499999999996</v>
      </c>
      <c r="L106">
        <f t="shared" si="54"/>
        <v>5.8333333333333338E-4</v>
      </c>
    </row>
    <row r="107" spans="1:17" x14ac:dyDescent="0.45">
      <c r="A107">
        <v>246</v>
      </c>
      <c r="B107">
        <v>0</v>
      </c>
      <c r="C107">
        <v>1</v>
      </c>
      <c r="D107">
        <f t="shared" si="49"/>
        <v>4.3050000000000006</v>
      </c>
      <c r="E107">
        <f t="shared" si="50"/>
        <v>2.9166666666666669E-4</v>
      </c>
      <c r="H107">
        <f t="shared" si="51"/>
        <v>67</v>
      </c>
      <c r="I107">
        <f t="shared" ref="I107:I108" si="55">60*(DEGREES(K107)-INT(DEGREES(K107)))</f>
        <v>29.808935433442514</v>
      </c>
      <c r="J107">
        <f>2</f>
        <v>2</v>
      </c>
      <c r="K107">
        <f>ABS(D107-$G$26)</f>
        <v>1.1780416666666671</v>
      </c>
      <c r="L107">
        <f t="shared" si="54"/>
        <v>5.8333333333333338E-4</v>
      </c>
    </row>
    <row r="108" spans="1:17" x14ac:dyDescent="0.45">
      <c r="A108">
        <v>246</v>
      </c>
      <c r="B108">
        <v>0</v>
      </c>
      <c r="C108">
        <v>1</v>
      </c>
      <c r="D108">
        <f t="shared" si="49"/>
        <v>4.3050000000000006</v>
      </c>
      <c r="E108">
        <f t="shared" si="50"/>
        <v>2.9166666666666669E-4</v>
      </c>
      <c r="H108">
        <f t="shared" si="51"/>
        <v>67</v>
      </c>
      <c r="I108">
        <f t="shared" si="55"/>
        <v>29.808935433442514</v>
      </c>
      <c r="J108">
        <f>2</f>
        <v>2</v>
      </c>
      <c r="K108">
        <f>ABS(D108-$G$26)</f>
        <v>1.1780416666666671</v>
      </c>
      <c r="L108">
        <f t="shared" si="54"/>
        <v>5.8333333333333338E-4</v>
      </c>
    </row>
    <row r="109" spans="1:17" x14ac:dyDescent="0.45">
      <c r="K109">
        <f>AVERAGE(K103:K108)</f>
        <v>1.1775798611111112</v>
      </c>
      <c r="L109">
        <f>L108</f>
        <v>5.8333333333333338E-4</v>
      </c>
    </row>
    <row r="111" spans="1:17" x14ac:dyDescent="0.45">
      <c r="A111" t="s">
        <v>33</v>
      </c>
    </row>
    <row r="112" spans="1:17" x14ac:dyDescent="0.45">
      <c r="A112" t="s">
        <v>12</v>
      </c>
      <c r="B112" t="s">
        <v>13</v>
      </c>
    </row>
    <row r="113" spans="1:17" x14ac:dyDescent="0.45">
      <c r="A113">
        <f>0.00000057694</f>
        <v>5.7693999999999998E-7</v>
      </c>
      <c r="B113">
        <v>2.99E-10</v>
      </c>
    </row>
    <row r="115" spans="1:17" x14ac:dyDescent="0.45">
      <c r="A115" t="s">
        <v>19</v>
      </c>
      <c r="H115" t="s">
        <v>14</v>
      </c>
      <c r="N115" t="s">
        <v>22</v>
      </c>
    </row>
    <row r="116" spans="1:17" x14ac:dyDescent="0.45">
      <c r="A116" t="s">
        <v>0</v>
      </c>
      <c r="B116" t="s">
        <v>1</v>
      </c>
      <c r="C116" t="s">
        <v>2</v>
      </c>
      <c r="D116" t="s">
        <v>18</v>
      </c>
      <c r="E116" t="s">
        <v>4</v>
      </c>
      <c r="H116" t="s">
        <v>0</v>
      </c>
      <c r="I116" t="s">
        <v>1</v>
      </c>
      <c r="J116" t="s">
        <v>2</v>
      </c>
      <c r="K116" t="s">
        <v>18</v>
      </c>
      <c r="L116" t="s">
        <v>4</v>
      </c>
      <c r="N116" t="s">
        <v>23</v>
      </c>
      <c r="O116" t="s">
        <v>2</v>
      </c>
      <c r="P116">
        <f>0.5* COS(($D$22+K123)/2)*1/(SIN($D$22/2))</f>
        <v>0.44882412366036295</v>
      </c>
      <c r="Q116">
        <f>SIN(-K123/2)/(2*SIN(D22/2)^2)</f>
        <v>-1.10183117257709</v>
      </c>
    </row>
    <row r="117" spans="1:17" x14ac:dyDescent="0.45">
      <c r="A117">
        <v>112</v>
      </c>
      <c r="B117">
        <v>8</v>
      </c>
      <c r="C117">
        <v>1</v>
      </c>
      <c r="D117">
        <f t="shared" ref="D117:D122" si="56">0.0175*(A117+B117/60)</f>
        <v>1.9623333333333337</v>
      </c>
      <c r="E117">
        <f t="shared" ref="E117:E122" si="57">0.0175*(C117/60)</f>
        <v>2.9166666666666669E-4</v>
      </c>
      <c r="H117">
        <f>INT(DEGREES(K117))</f>
        <v>66</v>
      </c>
      <c r="I117">
        <f>60*(DEGREES(K117)-INT(DEGREES(K117)))</f>
        <v>43.685832925409329</v>
      </c>
      <c r="J117">
        <f>2</f>
        <v>2</v>
      </c>
      <c r="K117">
        <f>ABS(D117-$G$26)</f>
        <v>1.1646249999999998</v>
      </c>
      <c r="L117">
        <f>0.0175*(J117/60)</f>
        <v>5.8333333333333338E-4</v>
      </c>
      <c r="N117">
        <f>SIN(0.5*(K123+$D$22))/SIN($D$22/2)</f>
        <v>1.7888388784600284</v>
      </c>
      <c r="O117">
        <f>SQRT(P116^2*L123^2 + Q116^2*$E$21^2)</f>
        <v>6.9401347006651788E-4</v>
      </c>
    </row>
    <row r="118" spans="1:17" x14ac:dyDescent="0.45">
      <c r="A118">
        <v>112</v>
      </c>
      <c r="B118">
        <v>7.5</v>
      </c>
      <c r="C118">
        <v>1</v>
      </c>
      <c r="D118">
        <f t="shared" si="56"/>
        <v>1.9621875000000002</v>
      </c>
      <c r="E118">
        <f t="shared" si="57"/>
        <v>2.9166666666666669E-4</v>
      </c>
      <c r="H118">
        <f t="shared" ref="H118:H122" si="58">INT(DEGREES(K118))</f>
        <v>66</v>
      </c>
      <c r="I118">
        <f t="shared" ref="I118:I119" si="59">60*(DEGREES(K118)-INT(DEGREES(K118)))</f>
        <v>44.187170996149803</v>
      </c>
      <c r="J118">
        <f>2</f>
        <v>2</v>
      </c>
      <c r="K118">
        <f t="shared" ref="K118:K119" si="60">ABS(D118-$G$26)</f>
        <v>1.1647708333333333</v>
      </c>
      <c r="L118">
        <f t="shared" ref="L118:L122" si="61">0.0175*(J118/60)</f>
        <v>5.8333333333333338E-4</v>
      </c>
    </row>
    <row r="119" spans="1:17" x14ac:dyDescent="0.45">
      <c r="A119">
        <v>112</v>
      </c>
      <c r="B119">
        <v>8</v>
      </c>
      <c r="C119">
        <v>1</v>
      </c>
      <c r="D119">
        <f t="shared" si="56"/>
        <v>1.9623333333333337</v>
      </c>
      <c r="E119">
        <f t="shared" si="57"/>
        <v>2.9166666666666669E-4</v>
      </c>
      <c r="H119">
        <f t="shared" si="58"/>
        <v>66</v>
      </c>
      <c r="I119">
        <f t="shared" si="59"/>
        <v>43.685832925409329</v>
      </c>
      <c r="J119">
        <f>2</f>
        <v>2</v>
      </c>
      <c r="K119">
        <f t="shared" si="60"/>
        <v>1.1646249999999998</v>
      </c>
      <c r="L119">
        <f t="shared" si="61"/>
        <v>5.8333333333333338E-4</v>
      </c>
    </row>
    <row r="120" spans="1:17" x14ac:dyDescent="0.45">
      <c r="A120">
        <v>245</v>
      </c>
      <c r="B120">
        <v>16</v>
      </c>
      <c r="C120">
        <v>1</v>
      </c>
      <c r="D120">
        <f t="shared" si="56"/>
        <v>4.2921666666666676</v>
      </c>
      <c r="E120">
        <f t="shared" si="57"/>
        <v>2.9166666666666669E-4</v>
      </c>
      <c r="H120">
        <f t="shared" si="58"/>
        <v>66</v>
      </c>
      <c r="I120">
        <f>60*(DEGREES(K120)-INT(DEGREES(K120)))</f>
        <v>45.691185208370371</v>
      </c>
      <c r="J120">
        <f>2</f>
        <v>2</v>
      </c>
      <c r="K120">
        <f>ABS(D120-$G$26)</f>
        <v>1.1652083333333341</v>
      </c>
      <c r="L120">
        <f t="shared" si="61"/>
        <v>5.8333333333333338E-4</v>
      </c>
    </row>
    <row r="121" spans="1:17" x14ac:dyDescent="0.45">
      <c r="A121">
        <v>245</v>
      </c>
      <c r="B121">
        <v>16</v>
      </c>
      <c r="C121">
        <v>1</v>
      </c>
      <c r="D121">
        <f t="shared" si="56"/>
        <v>4.2921666666666676</v>
      </c>
      <c r="E121">
        <f t="shared" si="57"/>
        <v>2.9166666666666669E-4</v>
      </c>
      <c r="H121">
        <f t="shared" si="58"/>
        <v>66</v>
      </c>
      <c r="I121">
        <f t="shared" ref="I121:I122" si="62">60*(DEGREES(K121)-INT(DEGREES(K121)))</f>
        <v>45.691185208370371</v>
      </c>
      <c r="J121">
        <f>2</f>
        <v>2</v>
      </c>
      <c r="K121">
        <f>ABS(D121-$G$26)</f>
        <v>1.1652083333333341</v>
      </c>
      <c r="L121">
        <f t="shared" si="61"/>
        <v>5.8333333333333338E-4</v>
      </c>
    </row>
    <row r="122" spans="1:17" x14ac:dyDescent="0.45">
      <c r="A122">
        <v>245</v>
      </c>
      <c r="B122">
        <v>18</v>
      </c>
      <c r="C122">
        <v>1</v>
      </c>
      <c r="D122">
        <f t="shared" si="56"/>
        <v>4.2927500000000007</v>
      </c>
      <c r="E122">
        <f t="shared" si="57"/>
        <v>2.9166666666666669E-4</v>
      </c>
      <c r="H122">
        <f t="shared" si="58"/>
        <v>66</v>
      </c>
      <c r="I122">
        <f t="shared" si="62"/>
        <v>47.696537491328002</v>
      </c>
      <c r="J122">
        <f>2</f>
        <v>2</v>
      </c>
      <c r="K122">
        <f>ABS(D122-$G$26)</f>
        <v>1.1657916666666672</v>
      </c>
      <c r="L122">
        <f t="shared" si="61"/>
        <v>5.8333333333333338E-4</v>
      </c>
    </row>
    <row r="123" spans="1:17" x14ac:dyDescent="0.45">
      <c r="K123">
        <f>AVERAGE(K117:K122)</f>
        <v>1.1650381944444448</v>
      </c>
      <c r="L123">
        <f>L122</f>
        <v>5.8333333333333338E-4</v>
      </c>
    </row>
    <row r="124" spans="1:17" x14ac:dyDescent="0.45">
      <c r="A124" t="s">
        <v>34</v>
      </c>
    </row>
    <row r="125" spans="1:17" x14ac:dyDescent="0.45">
      <c r="A125" t="s">
        <v>12</v>
      </c>
      <c r="B125" t="s">
        <v>13</v>
      </c>
    </row>
    <row r="126" spans="1:17" x14ac:dyDescent="0.45">
      <c r="A126">
        <f>0.00000057901</f>
        <v>5.7901000000000005E-7</v>
      </c>
      <c r="B126">
        <v>8.2800000000000004E-10</v>
      </c>
    </row>
    <row r="128" spans="1:17" x14ac:dyDescent="0.45">
      <c r="A128" t="s">
        <v>19</v>
      </c>
      <c r="H128" t="s">
        <v>14</v>
      </c>
      <c r="N128" t="s">
        <v>22</v>
      </c>
    </row>
    <row r="129" spans="1:17" x14ac:dyDescent="0.45">
      <c r="A129" t="s">
        <v>0</v>
      </c>
      <c r="B129" t="s">
        <v>1</v>
      </c>
      <c r="C129" t="s">
        <v>2</v>
      </c>
      <c r="D129" t="s">
        <v>18</v>
      </c>
      <c r="E129" t="s">
        <v>4</v>
      </c>
      <c r="H129" t="s">
        <v>0</v>
      </c>
      <c r="I129" t="s">
        <v>1</v>
      </c>
      <c r="J129" t="s">
        <v>2</v>
      </c>
      <c r="K129" t="s">
        <v>18</v>
      </c>
      <c r="L129" t="s">
        <v>4</v>
      </c>
      <c r="N129" t="s">
        <v>23</v>
      </c>
      <c r="O129" t="s">
        <v>2</v>
      </c>
      <c r="P129">
        <f>0.5* COS(($D$22+K136)/2)*1/(SIN($D$22/2))</f>
        <v>0.44930232542205756</v>
      </c>
      <c r="Q129">
        <f>SIN(-K136/2)/(2*SIN(D22/2)^2)</f>
        <v>-1.1009366675942949</v>
      </c>
    </row>
    <row r="130" spans="1:17" x14ac:dyDescent="0.45">
      <c r="A130">
        <v>112</v>
      </c>
      <c r="B130">
        <v>12</v>
      </c>
      <c r="C130">
        <v>1</v>
      </c>
      <c r="D130">
        <f t="shared" ref="D130:D135" si="63">0.0175*(A130+B130/60)</f>
        <v>1.9635000000000002</v>
      </c>
      <c r="E130">
        <f t="shared" ref="E130:E135" si="64">0.0175*(C130/60)</f>
        <v>2.9166666666666669E-4</v>
      </c>
      <c r="H130">
        <f>INT(DEGREES(K130))</f>
        <v>66</v>
      </c>
      <c r="I130">
        <f>60*(DEGREES(K130)-INT(DEGREES(K130)))</f>
        <v>39.675128359494067</v>
      </c>
      <c r="J130">
        <f>2</f>
        <v>2</v>
      </c>
      <c r="K130">
        <f>ABS(D130-$G$26)</f>
        <v>1.1634583333333333</v>
      </c>
      <c r="L130">
        <f>0.0175*(J130/60)</f>
        <v>5.8333333333333338E-4</v>
      </c>
      <c r="N130">
        <f>SIN(0.5*(K136+$D$22))/SIN($D$22/2)</f>
        <v>1.7883586302778953</v>
      </c>
      <c r="O130">
        <f>SQRT(P129^2*L136^2 + Q129^2*$E$21^2)</f>
        <v>6.9363561198346668E-4</v>
      </c>
    </row>
    <row r="131" spans="1:17" x14ac:dyDescent="0.45">
      <c r="A131">
        <v>112</v>
      </c>
      <c r="B131">
        <v>11</v>
      </c>
      <c r="C131">
        <v>1</v>
      </c>
      <c r="D131">
        <f t="shared" si="63"/>
        <v>1.9632083333333337</v>
      </c>
      <c r="E131">
        <f t="shared" si="64"/>
        <v>2.9166666666666669E-4</v>
      </c>
      <c r="H131">
        <f t="shared" ref="H131:H135" si="65">INT(DEGREES(K131))</f>
        <v>66</v>
      </c>
      <c r="I131">
        <f t="shared" ref="I131:I132" si="66">60*(DEGREES(K131)-INT(DEGREES(K131)))</f>
        <v>40.677804500972456</v>
      </c>
      <c r="J131">
        <f>2</f>
        <v>2</v>
      </c>
      <c r="K131">
        <f t="shared" ref="K131:K132" si="67">ABS(D131-$G$26)</f>
        <v>1.1637499999999998</v>
      </c>
      <c r="L131">
        <f t="shared" ref="L131:L135" si="68">0.0175*(J131/60)</f>
        <v>5.8333333333333338E-4</v>
      </c>
    </row>
    <row r="132" spans="1:17" x14ac:dyDescent="0.45">
      <c r="A132">
        <v>112</v>
      </c>
      <c r="B132">
        <v>11</v>
      </c>
      <c r="C132">
        <v>1</v>
      </c>
      <c r="D132">
        <f t="shared" si="63"/>
        <v>1.9632083333333337</v>
      </c>
      <c r="E132">
        <f t="shared" si="64"/>
        <v>2.9166666666666669E-4</v>
      </c>
      <c r="H132">
        <f t="shared" si="65"/>
        <v>66</v>
      </c>
      <c r="I132">
        <f t="shared" si="66"/>
        <v>40.677804500972456</v>
      </c>
      <c r="J132">
        <f>2</f>
        <v>2</v>
      </c>
      <c r="K132">
        <f t="shared" si="67"/>
        <v>1.1637499999999998</v>
      </c>
      <c r="L132">
        <f t="shared" si="68"/>
        <v>5.8333333333333338E-4</v>
      </c>
    </row>
    <row r="133" spans="1:17" x14ac:dyDescent="0.45">
      <c r="A133">
        <v>245</v>
      </c>
      <c r="B133">
        <v>13.5</v>
      </c>
      <c r="C133">
        <v>1</v>
      </c>
      <c r="D133">
        <f t="shared" si="63"/>
        <v>4.2914375000000007</v>
      </c>
      <c r="E133">
        <f t="shared" si="64"/>
        <v>2.9166666666666669E-4</v>
      </c>
      <c r="H133">
        <f t="shared" si="65"/>
        <v>66</v>
      </c>
      <c r="I133">
        <f>60*(DEGREES(K133)-INT(DEGREES(K133)))</f>
        <v>43.184494854672266</v>
      </c>
      <c r="J133">
        <f>2</f>
        <v>2</v>
      </c>
      <c r="K133">
        <f>ABS(D133-$G$26)</f>
        <v>1.1644791666666672</v>
      </c>
      <c r="L133">
        <f t="shared" si="68"/>
        <v>5.8333333333333338E-4</v>
      </c>
    </row>
    <row r="134" spans="1:17" x14ac:dyDescent="0.45">
      <c r="A134">
        <v>245</v>
      </c>
      <c r="B134">
        <v>13</v>
      </c>
      <c r="C134">
        <v>1</v>
      </c>
      <c r="D134">
        <f t="shared" si="63"/>
        <v>4.2912916666666669</v>
      </c>
      <c r="E134">
        <f t="shared" si="64"/>
        <v>2.9166666666666669E-4</v>
      </c>
      <c r="H134">
        <f t="shared" si="65"/>
        <v>66</v>
      </c>
      <c r="I134">
        <f t="shared" ref="I134:I135" si="69">60*(DEGREES(K134)-INT(DEGREES(K134)))</f>
        <v>42.683156783931793</v>
      </c>
      <c r="J134">
        <f>2</f>
        <v>2</v>
      </c>
      <c r="K134">
        <f>ABS(D134-$G$26)</f>
        <v>1.1643333333333334</v>
      </c>
      <c r="L134">
        <f t="shared" si="68"/>
        <v>5.8333333333333338E-4</v>
      </c>
    </row>
    <row r="135" spans="1:17" x14ac:dyDescent="0.45">
      <c r="A135">
        <v>245</v>
      </c>
      <c r="B135">
        <v>12</v>
      </c>
      <c r="C135">
        <v>1</v>
      </c>
      <c r="D135">
        <f t="shared" si="63"/>
        <v>4.2910000000000004</v>
      </c>
      <c r="E135">
        <f t="shared" si="64"/>
        <v>2.9166666666666669E-4</v>
      </c>
      <c r="H135">
        <f t="shared" si="65"/>
        <v>66</v>
      </c>
      <c r="I135">
        <f t="shared" si="69"/>
        <v>41.680480642452551</v>
      </c>
      <c r="J135">
        <f>2</f>
        <v>2</v>
      </c>
      <c r="K135">
        <f>ABS(D135-$G$26)</f>
        <v>1.1640416666666669</v>
      </c>
      <c r="L135">
        <f t="shared" si="68"/>
        <v>5.8333333333333338E-4</v>
      </c>
    </row>
    <row r="136" spans="1:17" x14ac:dyDescent="0.45">
      <c r="K136">
        <f>AVERAGE(K130:K135)</f>
        <v>1.16396875</v>
      </c>
      <c r="L136">
        <f>L135</f>
        <v>5.8333333333333338E-4</v>
      </c>
    </row>
    <row r="137" spans="1:17" x14ac:dyDescent="0.45">
      <c r="A137" t="s">
        <v>35</v>
      </c>
    </row>
    <row r="138" spans="1:17" x14ac:dyDescent="0.45">
      <c r="A138" t="s">
        <v>12</v>
      </c>
      <c r="B138" t="s">
        <v>13</v>
      </c>
    </row>
    <row r="139" spans="1:17" x14ac:dyDescent="0.45">
      <c r="A139">
        <f>0.00000062334</f>
        <v>6.2333999999999997E-7</v>
      </c>
      <c r="B139">
        <v>5.1499999999999998E-10</v>
      </c>
    </row>
    <row r="141" spans="1:17" x14ac:dyDescent="0.45">
      <c r="A141" t="s">
        <v>19</v>
      </c>
      <c r="H141" t="s">
        <v>14</v>
      </c>
      <c r="N141" t="s">
        <v>22</v>
      </c>
    </row>
    <row r="142" spans="1:17" x14ac:dyDescent="0.45">
      <c r="A142" t="s">
        <v>0</v>
      </c>
      <c r="B142" t="s">
        <v>1</v>
      </c>
      <c r="C142" t="s">
        <v>2</v>
      </c>
      <c r="D142" t="s">
        <v>18</v>
      </c>
      <c r="E142" t="s">
        <v>4</v>
      </c>
      <c r="H142" t="s">
        <v>0</v>
      </c>
      <c r="I142" t="s">
        <v>1</v>
      </c>
      <c r="J142" t="s">
        <v>2</v>
      </c>
      <c r="K142" t="s">
        <v>18</v>
      </c>
      <c r="L142" t="s">
        <v>4</v>
      </c>
      <c r="N142" t="s">
        <v>23</v>
      </c>
      <c r="O142" t="s">
        <v>2</v>
      </c>
      <c r="P142">
        <f>0.5* COS(($D$22+K149)/2)*1/(SIN($D$22/2))</f>
        <v>0.46297358293102053</v>
      </c>
      <c r="Q142">
        <f>SIN(-K149/2)/(2*SIN(D22/2)^2)</f>
        <v>-1.0751271152768147</v>
      </c>
    </row>
    <row r="143" spans="1:17" x14ac:dyDescent="0.45">
      <c r="A143">
        <v>113</v>
      </c>
      <c r="B143">
        <v>56</v>
      </c>
      <c r="C143">
        <v>1</v>
      </c>
      <c r="D143">
        <f t="shared" ref="D143:D148" si="70">0.0175*(A143+B143/60)</f>
        <v>1.9938333333333336</v>
      </c>
      <c r="E143">
        <f t="shared" ref="E143:E148" si="71">0.0175*(C143/60)</f>
        <v>2.9166666666666669E-4</v>
      </c>
      <c r="H143">
        <f>INT(DEGREES(K143))</f>
        <v>64</v>
      </c>
      <c r="I143">
        <f>60*(DEGREES(K143)-INT(DEGREES(K143)))</f>
        <v>55.396809645684471</v>
      </c>
      <c r="J143">
        <f>2</f>
        <v>2</v>
      </c>
      <c r="K143">
        <f>ABS(D143-$G$26)</f>
        <v>1.1331249999999999</v>
      </c>
      <c r="L143">
        <f>0.0175*(J143/60)</f>
        <v>5.8333333333333338E-4</v>
      </c>
      <c r="N143">
        <f>SIN(0.5*(K149+$D$22))/SIN($D$22/2)</f>
        <v>1.7743558704612099</v>
      </c>
      <c r="O143">
        <f>SQRT(P142^2*L149^2 + Q142^2*$E$21^2)</f>
        <v>6.8283467461972738E-4</v>
      </c>
    </row>
    <row r="144" spans="1:17" x14ac:dyDescent="0.45">
      <c r="A144">
        <v>113</v>
      </c>
      <c r="B144">
        <v>55.5</v>
      </c>
      <c r="C144">
        <v>1</v>
      </c>
      <c r="D144">
        <f t="shared" si="70"/>
        <v>1.9936875000000001</v>
      </c>
      <c r="E144">
        <f t="shared" si="71"/>
        <v>2.9166666666666669E-4</v>
      </c>
      <c r="H144">
        <f t="shared" ref="H144:H148" si="72">INT(DEGREES(K144))</f>
        <v>64</v>
      </c>
      <c r="I144">
        <f t="shared" ref="I144:I145" si="73">60*(DEGREES(K144)-INT(DEGREES(K144)))</f>
        <v>55.898147716424091</v>
      </c>
      <c r="J144">
        <f>2</f>
        <v>2</v>
      </c>
      <c r="K144">
        <f t="shared" ref="K144:K145" si="74">ABS(D144-$G$26)</f>
        <v>1.1332708333333334</v>
      </c>
      <c r="L144">
        <f t="shared" ref="L144:L148" si="75">0.0175*(J144/60)</f>
        <v>5.8333333333333338E-4</v>
      </c>
    </row>
    <row r="145" spans="1:12" x14ac:dyDescent="0.45">
      <c r="A145">
        <v>113</v>
      </c>
      <c r="B145">
        <v>58.5</v>
      </c>
      <c r="C145">
        <v>1</v>
      </c>
      <c r="D145">
        <f t="shared" si="70"/>
        <v>1.9945625</v>
      </c>
      <c r="E145">
        <f t="shared" si="71"/>
        <v>2.9166666666666669E-4</v>
      </c>
      <c r="H145">
        <f t="shared" si="72"/>
        <v>64</v>
      </c>
      <c r="I145">
        <f t="shared" si="73"/>
        <v>52.890119291987219</v>
      </c>
      <c r="J145">
        <f>2</f>
        <v>2</v>
      </c>
      <c r="K145">
        <f t="shared" si="74"/>
        <v>1.1323958333333335</v>
      </c>
      <c r="L145">
        <f t="shared" si="75"/>
        <v>5.8333333333333338E-4</v>
      </c>
    </row>
    <row r="146" spans="1:12" x14ac:dyDescent="0.45">
      <c r="A146">
        <v>243</v>
      </c>
      <c r="B146">
        <v>25</v>
      </c>
      <c r="C146">
        <v>1</v>
      </c>
      <c r="D146">
        <f t="shared" si="70"/>
        <v>4.2597916666666666</v>
      </c>
      <c r="E146">
        <f t="shared" si="71"/>
        <v>2.9166666666666669E-4</v>
      </c>
      <c r="H146">
        <f t="shared" si="72"/>
        <v>64</v>
      </c>
      <c r="I146">
        <f>60*(DEGREES(K146)-INT(DEGREES(K146)))</f>
        <v>54.394133504205229</v>
      </c>
      <c r="J146">
        <f>2</f>
        <v>2</v>
      </c>
      <c r="K146">
        <f>ABS(D146-$G$26)</f>
        <v>1.1328333333333331</v>
      </c>
      <c r="L146">
        <f t="shared" si="75"/>
        <v>5.8333333333333338E-4</v>
      </c>
    </row>
    <row r="147" spans="1:12" x14ac:dyDescent="0.45">
      <c r="A147">
        <v>243</v>
      </c>
      <c r="B147">
        <v>29</v>
      </c>
      <c r="C147">
        <v>1</v>
      </c>
      <c r="D147">
        <f t="shared" si="70"/>
        <v>4.2609583333333338</v>
      </c>
      <c r="E147">
        <f t="shared" si="71"/>
        <v>2.9166666666666669E-4</v>
      </c>
      <c r="H147">
        <f t="shared" si="72"/>
        <v>64</v>
      </c>
      <c r="I147">
        <f t="shared" ref="I147:I148" si="76">60*(DEGREES(K147)-INT(DEGREES(K147)))</f>
        <v>58.404838070122196</v>
      </c>
      <c r="J147">
        <f>2</f>
        <v>2</v>
      </c>
      <c r="K147">
        <f>ABS(D147-$G$26)</f>
        <v>1.1340000000000003</v>
      </c>
      <c r="L147">
        <f t="shared" si="75"/>
        <v>5.8333333333333338E-4</v>
      </c>
    </row>
    <row r="148" spans="1:12" x14ac:dyDescent="0.45">
      <c r="A148">
        <v>243</v>
      </c>
      <c r="B148">
        <v>29</v>
      </c>
      <c r="C148">
        <v>1</v>
      </c>
      <c r="D148">
        <f t="shared" si="70"/>
        <v>4.2609583333333338</v>
      </c>
      <c r="E148">
        <f t="shared" si="71"/>
        <v>2.9166666666666669E-4</v>
      </c>
      <c r="H148">
        <f t="shared" si="72"/>
        <v>64</v>
      </c>
      <c r="I148">
        <f t="shared" si="76"/>
        <v>58.404838070122196</v>
      </c>
      <c r="J148">
        <f>2</f>
        <v>2</v>
      </c>
      <c r="K148">
        <f>ABS(D148-$G$26)</f>
        <v>1.1340000000000003</v>
      </c>
      <c r="L148">
        <f t="shared" si="75"/>
        <v>5.8333333333333338E-4</v>
      </c>
    </row>
    <row r="149" spans="1:12" x14ac:dyDescent="0.45">
      <c r="K149">
        <f>AVERAGE(K143:K148)</f>
        <v>1.1332708333333334</v>
      </c>
      <c r="L149">
        <f>L148</f>
        <v>5.8333333333333338E-4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18" sqref="D18"/>
    </sheetView>
  </sheetViews>
  <sheetFormatPr defaultRowHeight="14.25" x14ac:dyDescent="0.45"/>
  <cols>
    <col min="1" max="1" width="11.59765625" bestFit="1" customWidth="1"/>
    <col min="3" max="3" width="11.73046875" bestFit="1" customWidth="1"/>
    <col min="5" max="6" width="11.59765625" bestFit="1" customWidth="1"/>
    <col min="7" max="7" width="11" customWidth="1"/>
  </cols>
  <sheetData>
    <row r="1" spans="1:6" ht="15" thickTop="1" thickBot="1" x14ac:dyDescent="0.5">
      <c r="A1" s="1" t="s">
        <v>20</v>
      </c>
      <c r="B1" s="1"/>
    </row>
    <row r="2" spans="1:6" ht="14.65" thickTop="1" x14ac:dyDescent="0.45"/>
    <row r="3" spans="1:6" x14ac:dyDescent="0.45">
      <c r="A3" t="s">
        <v>21</v>
      </c>
      <c r="B3" t="s">
        <v>24</v>
      </c>
      <c r="C3" t="s">
        <v>25</v>
      </c>
      <c r="D3" t="s">
        <v>26</v>
      </c>
      <c r="E3" t="s">
        <v>37</v>
      </c>
    </row>
    <row r="4" spans="1:6" x14ac:dyDescent="0.45">
      <c r="A4">
        <f>1/'dati raccolti'!A30^2</f>
        <v>6107786419350.2119</v>
      </c>
      <c r="B4">
        <f>'dati raccolti'!N34^2</f>
        <v>3.4029346575199613</v>
      </c>
      <c r="C4">
        <f>SQRT((-2*'dati raccolti'!A30^(-3))^2 * 'dati raccolti'!B30^2)</f>
        <v>11924848061.900173</v>
      </c>
      <c r="D4">
        <f>2*'regressione lineare'!B4*'dati raccolti'!O34</f>
        <v>5.0483306043545414E-3</v>
      </c>
      <c r="E4">
        <f>SQRT(D4^2 + $F$13^2*C4)</f>
        <v>5.0483306043599191E-3</v>
      </c>
    </row>
    <row r="5" spans="1:6" x14ac:dyDescent="0.45">
      <c r="A5">
        <f>1/'dati raccolti'!A43^2</f>
        <v>6013198730685.9072</v>
      </c>
      <c r="B5">
        <f>'dati raccolti'!N47^2</f>
        <v>3.3952913187816982</v>
      </c>
      <c r="C5">
        <f>SQRT((-2*'dati raccolti'!A43^(-3))^2 * 'dati raccolti'!B43^2)</f>
        <v>8876767130.6349087</v>
      </c>
      <c r="D5">
        <f>2*'regressione lineare'!B5*'dati raccolti'!O47</f>
        <v>5.0239466483149794E-3</v>
      </c>
      <c r="E5">
        <f t="shared" ref="E5:E12" si="0">SQRT(D5^2 + $F$13^2*C5)</f>
        <v>5.0239466483190023E-3</v>
      </c>
    </row>
    <row r="6" spans="1:6" x14ac:dyDescent="0.45">
      <c r="A6">
        <f>1/'dati raccolti'!A57^2</f>
        <v>5264604583138.6875</v>
      </c>
      <c r="B6">
        <f>'dati raccolti'!N61^2</f>
        <v>3.3405144012889547</v>
      </c>
      <c r="C6">
        <f>SQRT((-2*'dati raccolti'!A57^(-3))^2 * 'dati raccolti'!B57^2)</f>
        <v>12103650029.380644</v>
      </c>
      <c r="D6">
        <f>2*'regressione lineare'!B6*'dati raccolti'!O61</f>
        <v>4.8529463595204858E-3</v>
      </c>
      <c r="E6">
        <f t="shared" si="0"/>
        <v>4.8529463595261635E-3</v>
      </c>
    </row>
    <row r="7" spans="1:6" x14ac:dyDescent="0.45">
      <c r="A7">
        <f>1/'dati raccolti'!A71^2</f>
        <v>4126440774030.7617</v>
      </c>
      <c r="B7">
        <f>'dati raccolti'!N75^2</f>
        <v>3.2665748411824129</v>
      </c>
      <c r="C7">
        <f>SQRT((-2*'dati raccolti'!A71^(-3))^2 * 'dati raccolti'!B71^2)</f>
        <v>8382304326.8683701</v>
      </c>
      <c r="D7">
        <f>2*'regressione lineare'!B7*'dati raccolti'!O75</f>
        <v>4.6319175896252125E-3</v>
      </c>
      <c r="E7">
        <f t="shared" si="0"/>
        <v>4.6319175896293325E-3</v>
      </c>
    </row>
    <row r="8" spans="1:6" x14ac:dyDescent="0.45">
      <c r="A8">
        <f>1/'dati raccolti'!A85^2</f>
        <v>4048761331594.2637</v>
      </c>
      <c r="B8">
        <f>'dati raccolti'!N89^2</f>
        <v>3.2665748411824129</v>
      </c>
      <c r="C8">
        <f>SQRT((-2*'dati raccolti'!A85^(-3))^2 * 'dati raccolti'!B85^2)</f>
        <v>4464407440.3671303</v>
      </c>
      <c r="D8">
        <f>2*'regressione lineare'!B8*'dati raccolti'!O89</f>
        <v>4.6319175896252125E-3</v>
      </c>
      <c r="E8">
        <f t="shared" si="0"/>
        <v>4.6319175896274061E-3</v>
      </c>
    </row>
    <row r="9" spans="1:6" x14ac:dyDescent="0.45">
      <c r="A9">
        <f>1/'dati raccolti'!A99^2</f>
        <v>3353907525771.9224</v>
      </c>
      <c r="B9">
        <f>'dati raccolti'!N103^2</f>
        <v>3.2199886167280605</v>
      </c>
      <c r="C9">
        <f>SQRT((-2*'dati raccolti'!A99^(-3))^2 * 'dati raccolti'!B99^2)</f>
        <v>3685342677.2089105</v>
      </c>
      <c r="D9">
        <f>2*'regressione lineare'!B9*'dati raccolti'!O117</f>
        <v>4.4694309469402562E-3</v>
      </c>
      <c r="E9">
        <f t="shared" si="0"/>
        <v>4.4694309469421331E-3</v>
      </c>
    </row>
    <row r="10" spans="1:6" x14ac:dyDescent="0.45">
      <c r="A10">
        <f>1/'dati raccolti'!A113^2</f>
        <v>3004268191458.873</v>
      </c>
      <c r="B10">
        <f>'dati raccolti'!N117^2</f>
        <v>3.1999445330901324</v>
      </c>
      <c r="C10">
        <f>SQRT((-2*'dati raccolti'!A113^(-3))^2 * 'dati raccolti'!B113^2)</f>
        <v>3113932780.691937</v>
      </c>
      <c r="D10">
        <f>2*'regressione lineare'!B10*'dati raccolti'!O117</f>
        <v>4.4416092188605321E-3</v>
      </c>
      <c r="E10">
        <f t="shared" si="0"/>
        <v>4.4416092188621281E-3</v>
      </c>
    </row>
    <row r="11" spans="1:6" x14ac:dyDescent="0.45">
      <c r="A11">
        <f>1/'dati raccolti'!A126^2</f>
        <v>2982825664463.8418</v>
      </c>
      <c r="B11">
        <f>'dati raccolti'!N130^2</f>
        <v>3.1982265904894298</v>
      </c>
      <c r="C11">
        <f>SQRT((-2*'dati raccolti'!A126^(-3))^2 * 'dati raccolti'!B126^2)</f>
        <v>8531043160.4844837</v>
      </c>
      <c r="D11">
        <f>2*'regressione lineare'!B11*'dati raccolti'!O130</f>
        <v>4.4368077167118635E-3</v>
      </c>
      <c r="E11">
        <f t="shared" si="0"/>
        <v>4.4368077167162411E-3</v>
      </c>
    </row>
    <row r="12" spans="1:6" x14ac:dyDescent="0.45">
      <c r="A12">
        <f>1/'dati raccolti'!A139^2</f>
        <v>2573653089799.3716</v>
      </c>
      <c r="B12">
        <f>'dati raccolti'!N143^2</f>
        <v>3.1483387550401578</v>
      </c>
      <c r="C12">
        <f>SQRT((-2*'dati raccolti'!A139^(-3))^2 * 'dati raccolti'!B139^2)</f>
        <v>4252675397.8460436</v>
      </c>
      <c r="D12">
        <f>2*'regressione lineare'!B12*'dati raccolti'!O143</f>
        <v>4.2995897387810471E-3</v>
      </c>
      <c r="E12">
        <f t="shared" si="0"/>
        <v>4.2995897387832988E-3</v>
      </c>
    </row>
    <row r="13" spans="1:6" x14ac:dyDescent="0.45">
      <c r="F13">
        <f>SLOPE(B4:B12,A4:A12)</f>
        <v>6.7475496238438128E-14</v>
      </c>
    </row>
    <row r="14" spans="1:6" x14ac:dyDescent="0.45">
      <c r="B14">
        <f>PEARSON(B4:B12,A4:A12)</f>
        <v>0.99705166013887114</v>
      </c>
      <c r="F14">
        <f>INTERCEPT(B4:B12,A4:A12)</f>
        <v>2.9899682465287998</v>
      </c>
    </row>
    <row r="18" spans="1:4" x14ac:dyDescent="0.45">
      <c r="D18" s="12"/>
    </row>
    <row r="21" spans="1:4" x14ac:dyDescent="0.45">
      <c r="A21" t="s">
        <v>36</v>
      </c>
    </row>
    <row r="22" spans="1:4" x14ac:dyDescent="0.45">
      <c r="A22" t="s">
        <v>38</v>
      </c>
    </row>
    <row r="23" spans="1:4" x14ac:dyDescent="0.45">
      <c r="A23" t="s">
        <v>39</v>
      </c>
    </row>
    <row r="24" spans="1:4" x14ac:dyDescent="0.45">
      <c r="A24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raccolti</vt:lpstr>
      <vt:lpstr>regressione lineare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Lini</dc:creator>
  <cp:lastModifiedBy>Giacomo Lini</cp:lastModifiedBy>
  <dcterms:created xsi:type="dcterms:W3CDTF">2016-11-13T16:41:11Z</dcterms:created>
  <dcterms:modified xsi:type="dcterms:W3CDTF">2016-11-15T17:03:15Z</dcterms:modified>
</cp:coreProperties>
</file>