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sa\Documents\Scuola\Corsi\Fisica\Laboratorio\LaboratorioOtticaElettronicaFModerna\Git\Reticolo-prisma\Prisma\Data Analysis\"/>
    </mc:Choice>
  </mc:AlternateContent>
  <bookViews>
    <workbookView xWindow="0" yWindow="0" windowWidth="21570" windowHeight="7965" activeTab="2"/>
  </bookViews>
  <sheets>
    <sheet name="Calcolo alpha" sheetId="1" r:id="rId1"/>
    <sheet name="n" sheetId="2" r:id="rId2"/>
    <sheet name="Rett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28" i="3"/>
  <c r="B29" i="3"/>
  <c r="B30" i="3"/>
  <c r="B31" i="3"/>
  <c r="B32" i="3"/>
  <c r="B33" i="3"/>
  <c r="B34" i="3"/>
  <c r="B27" i="3"/>
  <c r="C23" i="3"/>
  <c r="D21" i="3"/>
  <c r="M15" i="3"/>
  <c r="M7" i="3"/>
  <c r="M8" i="3"/>
  <c r="M9" i="3"/>
  <c r="M10" i="3"/>
  <c r="M11" i="3"/>
  <c r="M12" i="3"/>
  <c r="M13" i="3"/>
  <c r="M14" i="3"/>
  <c r="M6" i="3"/>
  <c r="D20" i="3"/>
  <c r="L15" i="3"/>
  <c r="L7" i="3"/>
  <c r="L8" i="3"/>
  <c r="L9" i="3"/>
  <c r="L10" i="3"/>
  <c r="L11" i="3"/>
  <c r="L12" i="3"/>
  <c r="L13" i="3"/>
  <c r="L14" i="3"/>
  <c r="L6" i="3"/>
  <c r="C21" i="3"/>
  <c r="C20" i="3"/>
  <c r="C18" i="3"/>
  <c r="H15" i="3"/>
  <c r="I15" i="3"/>
  <c r="J15" i="3"/>
  <c r="K15" i="3"/>
  <c r="G15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K6" i="3"/>
  <c r="J6" i="3"/>
  <c r="I6" i="3"/>
  <c r="H6" i="3"/>
  <c r="G7" i="3"/>
  <c r="G8" i="3"/>
  <c r="G9" i="3"/>
  <c r="G10" i="3"/>
  <c r="G11" i="3"/>
  <c r="G12" i="3"/>
  <c r="G13" i="3"/>
  <c r="G14" i="3"/>
  <c r="G6" i="3"/>
  <c r="F6" i="3"/>
  <c r="F7" i="3"/>
  <c r="F8" i="3"/>
  <c r="F9" i="3"/>
  <c r="F10" i="3"/>
  <c r="F11" i="3"/>
  <c r="F12" i="3"/>
  <c r="F13" i="3"/>
  <c r="F14" i="3"/>
  <c r="E7" i="3"/>
  <c r="E8" i="3"/>
  <c r="E9" i="3"/>
  <c r="E10" i="3"/>
  <c r="E11" i="3"/>
  <c r="E12" i="3"/>
  <c r="E13" i="3"/>
  <c r="E14" i="3"/>
  <c r="E6" i="3"/>
  <c r="B14" i="3"/>
  <c r="B13" i="3"/>
  <c r="B12" i="3"/>
  <c r="B11" i="3"/>
  <c r="B10" i="3"/>
  <c r="B9" i="3"/>
  <c r="B8" i="3"/>
  <c r="B7" i="3"/>
  <c r="B6" i="3"/>
  <c r="B59" i="2"/>
  <c r="B53" i="2"/>
  <c r="D61" i="2"/>
  <c r="D55" i="2"/>
  <c r="B47" i="2"/>
  <c r="B41" i="2"/>
  <c r="B35" i="2"/>
  <c r="D49" i="2"/>
  <c r="D43" i="2"/>
  <c r="D37" i="2"/>
  <c r="B29" i="2"/>
  <c r="D31" i="2"/>
  <c r="B17" i="2"/>
  <c r="D25" i="2"/>
  <c r="B23" i="2"/>
  <c r="D19" i="2"/>
  <c r="D7" i="2"/>
  <c r="H55" i="2" s="1"/>
  <c r="B4" i="2"/>
  <c r="D13" i="2"/>
  <c r="B11" i="2"/>
  <c r="H25" i="2" l="1"/>
  <c r="J25" i="2" s="1"/>
  <c r="J55" i="2"/>
  <c r="N55" i="2"/>
  <c r="O55" i="2" s="1"/>
  <c r="D13" i="3" s="1"/>
  <c r="M55" i="2"/>
  <c r="C13" i="3" s="1"/>
  <c r="I55" i="2"/>
  <c r="H61" i="2"/>
  <c r="H37" i="2"/>
  <c r="H43" i="2"/>
  <c r="H19" i="2"/>
  <c r="H49" i="2"/>
  <c r="J49" i="2" s="1"/>
  <c r="H31" i="2"/>
  <c r="I31" i="2"/>
  <c r="H13" i="2"/>
  <c r="M10" i="1"/>
  <c r="N10" i="1"/>
  <c r="M9" i="1"/>
  <c r="L9" i="1"/>
  <c r="N9" i="1"/>
  <c r="L10" i="1"/>
  <c r="L8" i="1"/>
  <c r="M8" i="1"/>
  <c r="N8" i="1"/>
  <c r="L6" i="1"/>
  <c r="M6" i="1"/>
  <c r="N6" i="1"/>
  <c r="N7" i="1"/>
  <c r="M7" i="1"/>
  <c r="L7" i="1"/>
  <c r="J10" i="1"/>
  <c r="J9" i="1"/>
  <c r="J8" i="1"/>
  <c r="K10" i="1"/>
  <c r="K9" i="1"/>
  <c r="K8" i="1"/>
  <c r="H21" i="1"/>
  <c r="G21" i="1"/>
  <c r="H20" i="1"/>
  <c r="G20" i="1"/>
  <c r="H13" i="1"/>
  <c r="G13" i="1"/>
  <c r="H12" i="1"/>
  <c r="G12" i="1"/>
  <c r="H5" i="1"/>
  <c r="H4" i="1"/>
  <c r="G5" i="1"/>
  <c r="G4" i="1"/>
  <c r="B24" i="1"/>
  <c r="F21" i="1"/>
  <c r="D21" i="1"/>
  <c r="F20" i="1" s="1"/>
  <c r="D20" i="1"/>
  <c r="B16" i="1"/>
  <c r="F13" i="1"/>
  <c r="D13" i="1"/>
  <c r="D12" i="1"/>
  <c r="F12" i="1" s="1"/>
  <c r="D5" i="1"/>
  <c r="D4" i="1"/>
  <c r="B8" i="1"/>
  <c r="F5" i="1" s="1"/>
  <c r="M25" i="2" l="1"/>
  <c r="C8" i="3" s="1"/>
  <c r="N25" i="2"/>
  <c r="O25" i="2" s="1"/>
  <c r="D8" i="3" s="1"/>
  <c r="I25" i="2"/>
  <c r="M13" i="2"/>
  <c r="C6" i="3" s="1"/>
  <c r="N13" i="2"/>
  <c r="O13" i="2" s="1"/>
  <c r="D6" i="3" s="1"/>
  <c r="J13" i="2"/>
  <c r="I13" i="2"/>
  <c r="J43" i="2"/>
  <c r="M43" i="2"/>
  <c r="C11" i="3" s="1"/>
  <c r="N43" i="2"/>
  <c r="O43" i="2" s="1"/>
  <c r="D11" i="3" s="1"/>
  <c r="J37" i="2"/>
  <c r="N37" i="2"/>
  <c r="O37" i="2" s="1"/>
  <c r="D10" i="3" s="1"/>
  <c r="M37" i="2"/>
  <c r="C10" i="3" s="1"/>
  <c r="I43" i="2"/>
  <c r="J61" i="2"/>
  <c r="N61" i="2"/>
  <c r="O61" i="2" s="1"/>
  <c r="D14" i="3" s="1"/>
  <c r="I61" i="2"/>
  <c r="M61" i="2"/>
  <c r="C14" i="3" s="1"/>
  <c r="J31" i="2"/>
  <c r="M31" i="2"/>
  <c r="C9" i="3" s="1"/>
  <c r="N31" i="2"/>
  <c r="O31" i="2" s="1"/>
  <c r="D9" i="3" s="1"/>
  <c r="I49" i="2"/>
  <c r="N49" i="2"/>
  <c r="O49" i="2" s="1"/>
  <c r="D12" i="3" s="1"/>
  <c r="M49" i="2"/>
  <c r="C12" i="3" s="1"/>
  <c r="I37" i="2"/>
  <c r="J19" i="2"/>
  <c r="I19" i="2"/>
  <c r="M19" i="2"/>
  <c r="C7" i="3" s="1"/>
  <c r="N19" i="2"/>
  <c r="O19" i="2" s="1"/>
  <c r="D7" i="3" s="1"/>
  <c r="F4" i="1"/>
</calcChain>
</file>

<file path=xl/sharedStrings.xml><?xml version="1.0" encoding="utf-8"?>
<sst xmlns="http://schemas.openxmlformats.org/spreadsheetml/2006/main" count="209" uniqueCount="57">
  <si>
    <t>Calcolo di alpha</t>
  </si>
  <si>
    <t>Gradi</t>
  </si>
  <si>
    <t>Primi</t>
  </si>
  <si>
    <t>Rad</t>
  </si>
  <si>
    <t>theta 1</t>
  </si>
  <si>
    <t>theta 2</t>
  </si>
  <si>
    <t>Errore</t>
  </si>
  <si>
    <t>Errore Rad</t>
  </si>
  <si>
    <t>Errore primi</t>
  </si>
  <si>
    <t>Alpha</t>
  </si>
  <si>
    <t>Alpha1</t>
  </si>
  <si>
    <t>Alpha2</t>
  </si>
  <si>
    <t>Alpha3</t>
  </si>
  <si>
    <t>errori</t>
  </si>
  <si>
    <t>alpha</t>
  </si>
  <si>
    <t>Calcolo Delta m</t>
  </si>
  <si>
    <t>Viola interno</t>
  </si>
  <si>
    <t>Lambda</t>
  </si>
  <si>
    <t>Errore deg</t>
  </si>
  <si>
    <t>Errore rad</t>
  </si>
  <si>
    <t>delta(lambda)</t>
  </si>
  <si>
    <t>theta zero</t>
  </si>
  <si>
    <t>Viola esterno</t>
  </si>
  <si>
    <t>Blu</t>
  </si>
  <si>
    <t>Verde interno</t>
  </si>
  <si>
    <t>Verde esterno</t>
  </si>
  <si>
    <t>Verde giallo</t>
  </si>
  <si>
    <t>Giallo interno</t>
  </si>
  <si>
    <t>Giallo esterno</t>
  </si>
  <si>
    <t>Rosso</t>
  </si>
  <si>
    <t>Average</t>
  </si>
  <si>
    <t>Delta m</t>
  </si>
  <si>
    <t>Error</t>
  </si>
  <si>
    <t>n(lambda)</t>
  </si>
  <si>
    <t>sigma^2</t>
  </si>
  <si>
    <t>sigma</t>
  </si>
  <si>
    <t>Retta dei minimi quadrati</t>
  </si>
  <si>
    <t>n</t>
  </si>
  <si>
    <t>sigma n</t>
  </si>
  <si>
    <t>1/lambda^2</t>
  </si>
  <si>
    <t>1/n^2</t>
  </si>
  <si>
    <t>p</t>
  </si>
  <si>
    <t>x</t>
  </si>
  <si>
    <t>y</t>
  </si>
  <si>
    <t>px^2</t>
  </si>
  <si>
    <t>px</t>
  </si>
  <si>
    <t>py</t>
  </si>
  <si>
    <t>pxy</t>
  </si>
  <si>
    <t>Sums</t>
  </si>
  <si>
    <t>Delta</t>
  </si>
  <si>
    <t>Value</t>
  </si>
  <si>
    <t>a</t>
  </si>
  <si>
    <t>b</t>
  </si>
  <si>
    <t>Sigma a</t>
  </si>
  <si>
    <t>sigma b</t>
  </si>
  <si>
    <t>r</t>
  </si>
  <si>
    <t>a+b/lambda^2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</si>
</sst>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</cellXfs>
  <cellStyles count="2">
    <cellStyle name="60% - Accent5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n(lambda)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Retta!$B$6:$B$14</c:f>
              <c:numCache>
                <c:formatCode>General</c:formatCode>
                <c:ptCount val="9"/>
                <c:pt idx="0">
                  <c:v>4.0465600000000002E-7</c:v>
                </c:pt>
                <c:pt idx="1">
                  <c:v>4.0778300000000005E-7</c:v>
                </c:pt>
                <c:pt idx="2">
                  <c:v>4.3583299999999998E-7</c:v>
                </c:pt>
                <c:pt idx="3">
                  <c:v>4.9160700000000007E-7</c:v>
                </c:pt>
                <c:pt idx="4">
                  <c:v>4.9703700000000003E-7</c:v>
                </c:pt>
                <c:pt idx="5">
                  <c:v>5.4607399999999997E-7</c:v>
                </c:pt>
                <c:pt idx="6">
                  <c:v>5.7696000000000011E-7</c:v>
                </c:pt>
                <c:pt idx="7">
                  <c:v>5.78966E-7</c:v>
                </c:pt>
                <c:pt idx="8">
                  <c:v>6.2344000000000008E-7</c:v>
                </c:pt>
              </c:numCache>
            </c:numRef>
          </c:xVal>
          <c:yVal>
            <c:numRef>
              <c:f>Retta!$C$6:$C$14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0-4F9F-A951-9A24BD41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36680"/>
        <c:axId val="404439960"/>
      </c:scatterChart>
      <c:valAx>
        <c:axId val="404436680"/>
        <c:scaling>
          <c:orientation val="minMax"/>
          <c:min val="3.8000000000000017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439960"/>
        <c:crosses val="autoZero"/>
        <c:crossBetween val="midCat"/>
      </c:valAx>
      <c:valAx>
        <c:axId val="4044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4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1/n^2 misurato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Retta!$E$6:$E$14</c:f>
              <c:numCache>
                <c:formatCode>General</c:formatCode>
                <c:ptCount val="9"/>
                <c:pt idx="0">
                  <c:v>6107001568290.5088</c:v>
                </c:pt>
                <c:pt idx="1">
                  <c:v>6013700107689.0146</c:v>
                </c:pt>
                <c:pt idx="2">
                  <c:v>5264532106940.7314</c:v>
                </c:pt>
                <c:pt idx="3">
                  <c:v>4137746534664.793</c:v>
                </c:pt>
                <c:pt idx="4">
                  <c:v>4047832764251.9629</c:v>
                </c:pt>
                <c:pt idx="5">
                  <c:v>3353489892609.0767</c:v>
                </c:pt>
                <c:pt idx="6">
                  <c:v>3004059912471.0176</c:v>
                </c:pt>
                <c:pt idx="7">
                  <c:v>2983279056602.104</c:v>
                </c:pt>
                <c:pt idx="8">
                  <c:v>2572827526254.4072</c:v>
                </c:pt>
              </c:numCache>
            </c:numRef>
          </c:xVal>
          <c:yVal>
            <c:numRef>
              <c:f>Retta!$F$6:$F$14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AE1-8605-F672A9E0A7EA}"/>
            </c:ext>
          </c:extLst>
        </c:ser>
        <c:ser>
          <c:idx val="1"/>
          <c:order val="1"/>
          <c:tx>
            <c:v>1/n^2 atteso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Retta!$E$6:$E$14</c:f>
              <c:numCache>
                <c:formatCode>General</c:formatCode>
                <c:ptCount val="9"/>
                <c:pt idx="0">
                  <c:v>6107001568290.5088</c:v>
                </c:pt>
                <c:pt idx="1">
                  <c:v>6013700107689.0146</c:v>
                </c:pt>
                <c:pt idx="2">
                  <c:v>5264532106940.7314</c:v>
                </c:pt>
                <c:pt idx="3">
                  <c:v>4137746534664.793</c:v>
                </c:pt>
                <c:pt idx="4">
                  <c:v>4047832764251.9629</c:v>
                </c:pt>
                <c:pt idx="5">
                  <c:v>3353489892609.0767</c:v>
                </c:pt>
                <c:pt idx="6">
                  <c:v>3004059912471.0176</c:v>
                </c:pt>
                <c:pt idx="7">
                  <c:v>2983279056602.104</c:v>
                </c:pt>
                <c:pt idx="8">
                  <c:v>2572827526254.4072</c:v>
                </c:pt>
              </c:numCache>
            </c:numRef>
          </c:xVal>
          <c:yVal>
            <c:numRef>
              <c:f>Retta!$B$27:$B$35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AE1-8605-F672A9E0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84408"/>
        <c:axId val="412381456"/>
      </c:scatterChart>
      <c:valAx>
        <c:axId val="4123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381456"/>
        <c:crosses val="autoZero"/>
        <c:crossBetween val="midCat"/>
      </c:valAx>
      <c:valAx>
        <c:axId val="4123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3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</xdr:row>
      <xdr:rowOff>190499</xdr:rowOff>
    </xdr:from>
    <xdr:to>
      <xdr:col>25</xdr:col>
      <xdr:colOff>600074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0F5AC-EE76-46C6-9784-E40B7020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28</xdr:row>
      <xdr:rowOff>180975</xdr:rowOff>
    </xdr:from>
    <xdr:to>
      <xdr:col>25</xdr:col>
      <xdr:colOff>381000</xdr:colOff>
      <xdr:row>52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0364-CADC-40C3-ACEE-E707626F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K8" sqref="K8"/>
    </sheetView>
  </sheetViews>
  <sheetFormatPr defaultRowHeight="15" x14ac:dyDescent="0.25"/>
  <cols>
    <col min="1" max="1" width="15" bestFit="1" customWidth="1"/>
    <col min="3" max="3" width="13.140625" bestFit="1" customWidth="1"/>
  </cols>
  <sheetData>
    <row r="1" spans="1:14" x14ac:dyDescent="0.25">
      <c r="A1" t="s">
        <v>0</v>
      </c>
    </row>
    <row r="3" spans="1:14" x14ac:dyDescent="0.25">
      <c r="B3" t="s">
        <v>1</v>
      </c>
      <c r="C3" t="s">
        <v>2</v>
      </c>
      <c r="D3" t="s">
        <v>3</v>
      </c>
      <c r="F3" t="s">
        <v>3</v>
      </c>
      <c r="G3" t="s">
        <v>1</v>
      </c>
      <c r="H3" t="s">
        <v>2</v>
      </c>
    </row>
    <row r="4" spans="1:14" x14ac:dyDescent="0.25">
      <c r="A4" t="s">
        <v>4</v>
      </c>
      <c r="D4">
        <f>(PI()*(B4+C4/60))/180</f>
        <v>0</v>
      </c>
      <c r="E4" t="s">
        <v>10</v>
      </c>
      <c r="F4">
        <f>PI()-(ABS(D5-D4))</f>
        <v>3.1415926535897931</v>
      </c>
      <c r="G4">
        <f>DEGREES(F4)</f>
        <v>180</v>
      </c>
      <c r="H4">
        <f>60*(DEGREES(F4)-INT(DEGREES(F4)))</f>
        <v>0</v>
      </c>
    </row>
    <row r="5" spans="1:14" x14ac:dyDescent="0.25">
      <c r="A5" t="s">
        <v>5</v>
      </c>
      <c r="D5">
        <f>(PI()*(B5+C5/60))/180</f>
        <v>0</v>
      </c>
      <c r="E5" t="s">
        <v>6</v>
      </c>
      <c r="F5">
        <f>B8*SQRT(2)</f>
        <v>2.4682682989768702E-2</v>
      </c>
      <c r="G5">
        <f>INT(DEGREES(F5))</f>
        <v>1</v>
      </c>
      <c r="H5">
        <f>60*(DEGREES(F5)-INT(DEGREES(F5)))</f>
        <v>24.85281374238571</v>
      </c>
    </row>
    <row r="6" spans="1:14" x14ac:dyDescent="0.25">
      <c r="J6" t="s">
        <v>13</v>
      </c>
      <c r="L6">
        <f>F5</f>
        <v>2.4682682989768702E-2</v>
      </c>
      <c r="M6">
        <f>F13</f>
        <v>2.4682682989768702E-2</v>
      </c>
      <c r="N6">
        <f>F21</f>
        <v>2.4682682989768702E-2</v>
      </c>
    </row>
    <row r="7" spans="1:14" x14ac:dyDescent="0.25">
      <c r="A7" t="s">
        <v>8</v>
      </c>
      <c r="B7">
        <v>1</v>
      </c>
      <c r="K7" t="s">
        <v>14</v>
      </c>
      <c r="L7">
        <f>F4</f>
        <v>3.1415926535897931</v>
      </c>
      <c r="M7">
        <f>F12</f>
        <v>3.1415926535897931</v>
      </c>
      <c r="N7">
        <f>F20</f>
        <v>3.1415926535897931</v>
      </c>
    </row>
    <row r="8" spans="1:14" x14ac:dyDescent="0.25">
      <c r="A8" t="s">
        <v>7</v>
      </c>
      <c r="B8">
        <f>B7*PI()/180</f>
        <v>1.7453292519943295E-2</v>
      </c>
      <c r="J8">
        <f>F5</f>
        <v>2.4682682989768702E-2</v>
      </c>
      <c r="K8">
        <f>F4</f>
        <v>3.1415926535897931</v>
      </c>
      <c r="L8">
        <f>($K8-L$7)/(SQRT($J8^2+L$6))</f>
        <v>0</v>
      </c>
      <c r="M8">
        <f>($K8-M$7)/(SQRT($J8^2+M$6))</f>
        <v>0</v>
      </c>
      <c r="N8">
        <f>($K8-N$7)/(SQRT($J8^2+N$6))</f>
        <v>0</v>
      </c>
    </row>
    <row r="9" spans="1:14" x14ac:dyDescent="0.25">
      <c r="J9">
        <f>F13</f>
        <v>2.4682682989768702E-2</v>
      </c>
      <c r="K9">
        <f>F12</f>
        <v>3.1415926535897931</v>
      </c>
      <c r="L9">
        <f>($K9-L$7)/(SQRT($J9^2+L$6))</f>
        <v>0</v>
      </c>
      <c r="M9">
        <f>($K9-M$7)/(SQRT($J9^2+M$6))</f>
        <v>0</v>
      </c>
      <c r="N9">
        <f t="shared" ref="L9:N10" si="0">($K9-N$7)/(SQRT($J9^2+N$6))</f>
        <v>0</v>
      </c>
    </row>
    <row r="10" spans="1:14" x14ac:dyDescent="0.25">
      <c r="J10">
        <f>F21</f>
        <v>2.4682682989768702E-2</v>
      </c>
      <c r="K10">
        <f>F20</f>
        <v>3.1415926535897931</v>
      </c>
      <c r="L10">
        <f t="shared" si="0"/>
        <v>0</v>
      </c>
      <c r="M10">
        <f>($K10-M$7)/(SQRT($J10^2+M$6))</f>
        <v>0</v>
      </c>
      <c r="N10">
        <f>($K10-N$7)/(SQRT($J10^2+N$6))</f>
        <v>0</v>
      </c>
    </row>
    <row r="11" spans="1:14" x14ac:dyDescent="0.25">
      <c r="B11" t="s">
        <v>1</v>
      </c>
      <c r="C11" t="s">
        <v>2</v>
      </c>
      <c r="D11" t="s">
        <v>3</v>
      </c>
      <c r="F11" t="s">
        <v>3</v>
      </c>
      <c r="G11" t="s">
        <v>1</v>
      </c>
      <c r="H11" t="s">
        <v>2</v>
      </c>
    </row>
    <row r="12" spans="1:14" x14ac:dyDescent="0.25">
      <c r="A12" t="s">
        <v>4</v>
      </c>
      <c r="D12">
        <f>(PI()*(B12+C12/60))/180</f>
        <v>0</v>
      </c>
      <c r="E12" t="s">
        <v>11</v>
      </c>
      <c r="F12">
        <f>PI()-(ABS(D13-D12))</f>
        <v>3.1415926535897931</v>
      </c>
      <c r="G12">
        <f>DEGREES(F12)</f>
        <v>180</v>
      </c>
      <c r="H12">
        <f>60*(DEGREES(F12)-INT(DEGREES(F12)))</f>
        <v>0</v>
      </c>
    </row>
    <row r="13" spans="1:14" x14ac:dyDescent="0.25">
      <c r="A13" t="s">
        <v>5</v>
      </c>
      <c r="D13">
        <f>(PI()*(B13+C13/60))/180</f>
        <v>0</v>
      </c>
      <c r="E13" t="s">
        <v>6</v>
      </c>
      <c r="F13">
        <f>B16*SQRT(2)</f>
        <v>2.4682682989768702E-2</v>
      </c>
      <c r="G13">
        <f>INT(DEGREES(F13))</f>
        <v>1</v>
      </c>
      <c r="H13">
        <f>60*(DEGREES(F13)-INT(DEGREES(F13)))</f>
        <v>24.85281374238571</v>
      </c>
    </row>
    <row r="15" spans="1:14" x14ac:dyDescent="0.25">
      <c r="A15" t="s">
        <v>8</v>
      </c>
      <c r="B15">
        <v>1</v>
      </c>
    </row>
    <row r="16" spans="1:14" x14ac:dyDescent="0.25">
      <c r="A16" t="s">
        <v>7</v>
      </c>
      <c r="B16">
        <f>B15*PI()/180</f>
        <v>1.7453292519943295E-2</v>
      </c>
    </row>
    <row r="19" spans="1:8" x14ac:dyDescent="0.25">
      <c r="B19" t="s">
        <v>1</v>
      </c>
      <c r="C19" t="s">
        <v>2</v>
      </c>
      <c r="D19" t="s">
        <v>3</v>
      </c>
      <c r="F19" t="s">
        <v>3</v>
      </c>
      <c r="G19" t="s">
        <v>1</v>
      </c>
      <c r="H19" t="s">
        <v>2</v>
      </c>
    </row>
    <row r="20" spans="1:8" x14ac:dyDescent="0.25">
      <c r="A20" t="s">
        <v>4</v>
      </c>
      <c r="D20">
        <f>(PI()*(B20+C20/60))/180</f>
        <v>0</v>
      </c>
      <c r="E20" t="s">
        <v>12</v>
      </c>
      <c r="F20">
        <f>PI()-(ABS(D21-D20))</f>
        <v>3.1415926535897931</v>
      </c>
      <c r="G20">
        <f>DEGREES(F20)</f>
        <v>180</v>
      </c>
      <c r="H20">
        <f>60*(DEGREES(F20)-INT(DEGREES(F20)))</f>
        <v>0</v>
      </c>
    </row>
    <row r="21" spans="1:8" x14ac:dyDescent="0.25">
      <c r="A21" t="s">
        <v>5</v>
      </c>
      <c r="D21">
        <f>(PI()*(B21+C21/60))/180</f>
        <v>0</v>
      </c>
      <c r="E21" t="s">
        <v>6</v>
      </c>
      <c r="F21">
        <f>B24*SQRT(2)</f>
        <v>2.4682682989768702E-2</v>
      </c>
      <c r="G21">
        <f>INT(DEGREES(F21))</f>
        <v>1</v>
      </c>
      <c r="H21">
        <f>60*(DEGREES(F21)-INT(DEGREES(F21)))</f>
        <v>24.85281374238571</v>
      </c>
    </row>
    <row r="23" spans="1:8" x14ac:dyDescent="0.25">
      <c r="A23" t="s">
        <v>8</v>
      </c>
      <c r="B23">
        <v>1</v>
      </c>
    </row>
    <row r="24" spans="1:8" x14ac:dyDescent="0.25">
      <c r="A24" t="s">
        <v>7</v>
      </c>
      <c r="B24">
        <f>B23*PI()/180</f>
        <v>1.7453292519943295E-2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U18" sqref="U18"/>
    </sheetView>
  </sheetViews>
  <sheetFormatPr defaultRowHeight="15" x14ac:dyDescent="0.25"/>
  <cols>
    <col min="1" max="1" width="14.85546875" bestFit="1" customWidth="1"/>
    <col min="2" max="2" width="12" bestFit="1" customWidth="1"/>
    <col min="13" max="13" width="10.140625" bestFit="1" customWidth="1"/>
  </cols>
  <sheetData>
    <row r="1" spans="1:15" x14ac:dyDescent="0.25">
      <c r="A1" t="s">
        <v>15</v>
      </c>
    </row>
    <row r="2" spans="1:15" x14ac:dyDescent="0.25">
      <c r="E2" t="s">
        <v>3</v>
      </c>
    </row>
    <row r="3" spans="1:15" x14ac:dyDescent="0.25">
      <c r="A3" t="s">
        <v>18</v>
      </c>
      <c r="D3" t="s">
        <v>9</v>
      </c>
    </row>
    <row r="4" spans="1:15" x14ac:dyDescent="0.25">
      <c r="A4" t="s">
        <v>19</v>
      </c>
      <c r="B4">
        <f>RADIANS(B3/60)</f>
        <v>0</v>
      </c>
      <c r="D4" t="s">
        <v>32</v>
      </c>
    </row>
    <row r="6" spans="1:15" x14ac:dyDescent="0.25">
      <c r="B6" s="4" t="s">
        <v>1</v>
      </c>
      <c r="C6" s="4" t="s">
        <v>2</v>
      </c>
      <c r="D6" s="4" t="s">
        <v>3</v>
      </c>
    </row>
    <row r="7" spans="1:15" x14ac:dyDescent="0.25">
      <c r="A7" t="s">
        <v>21</v>
      </c>
      <c r="B7" s="4"/>
      <c r="C7" s="4"/>
      <c r="D7" s="4">
        <f>RADIANS(B7+C7/60)</f>
        <v>0</v>
      </c>
    </row>
    <row r="10" spans="1:15" x14ac:dyDescent="0.25">
      <c r="B10" t="s">
        <v>17</v>
      </c>
      <c r="M10" s="5"/>
    </row>
    <row r="11" spans="1:15" x14ac:dyDescent="0.25">
      <c r="A11" t="s">
        <v>16</v>
      </c>
      <c r="B11" s="4">
        <f>404.656*0.000000001</f>
        <v>4.0465600000000002E-7</v>
      </c>
      <c r="C11" s="3"/>
      <c r="M11" s="5"/>
    </row>
    <row r="12" spans="1:15" x14ac:dyDescent="0.25">
      <c r="B12" t="s">
        <v>1</v>
      </c>
      <c r="C12" t="s">
        <v>2</v>
      </c>
      <c r="D12" t="s">
        <v>3</v>
      </c>
      <c r="F12" t="s">
        <v>30</v>
      </c>
      <c r="H12" t="s">
        <v>3</v>
      </c>
      <c r="I12" t="s">
        <v>1</v>
      </c>
      <c r="J12" t="s">
        <v>2</v>
      </c>
      <c r="M12" s="5" t="s">
        <v>33</v>
      </c>
      <c r="N12" t="s">
        <v>34</v>
      </c>
      <c r="O12" t="s">
        <v>35</v>
      </c>
    </row>
    <row r="13" spans="1:15" x14ac:dyDescent="0.25">
      <c r="A13" t="s">
        <v>20</v>
      </c>
      <c r="D13">
        <f>RADIANS(B13+C13/60)</f>
        <v>0</v>
      </c>
      <c r="G13" t="s">
        <v>31</v>
      </c>
      <c r="H13">
        <f>ABS(F13-$D$7)</f>
        <v>0</v>
      </c>
      <c r="I13">
        <f>INT(DEGREES(H13))</f>
        <v>0</v>
      </c>
      <c r="J13">
        <f>60*(DEGREES(H13)-INT(DEGREES(H13)))</f>
        <v>0</v>
      </c>
      <c r="M13" s="5" t="e">
        <f>SIN((H13+$E$3)/2)/SIN($E$3/2)</f>
        <v>#DIV/0!</v>
      </c>
      <c r="N13" s="5" t="e">
        <f>(COS((H13+$E$3)/2)/(2*SIN($E$3/2))*H14)^2+((0.5*COS((H13+$E$3)/2)*SIN($E$3/2)-0.5*COS($E$3/2)*SIN((H13+$E$3)/2))*$E$4/(SIN($E$3/2)^2))^2</f>
        <v>#DIV/0!</v>
      </c>
      <c r="O13" t="e">
        <f>SQRT(N13)</f>
        <v>#DIV/0!</v>
      </c>
    </row>
    <row r="14" spans="1:15" x14ac:dyDescent="0.25">
      <c r="B14" s="5"/>
      <c r="C14" s="5"/>
      <c r="D14" s="5"/>
      <c r="M14" s="5"/>
    </row>
    <row r="15" spans="1:15" x14ac:dyDescent="0.25">
      <c r="M15" s="5"/>
    </row>
    <row r="16" spans="1:15" x14ac:dyDescent="0.25">
      <c r="A16" s="5"/>
      <c r="B16" s="5" t="s">
        <v>17</v>
      </c>
      <c r="C16" s="5"/>
      <c r="D16" s="5"/>
    </row>
    <row r="17" spans="1:15" x14ac:dyDescent="0.25">
      <c r="A17" s="5" t="s">
        <v>22</v>
      </c>
      <c r="B17" s="5">
        <f>407.783*0.000000001</f>
        <v>4.0778300000000005E-7</v>
      </c>
      <c r="C17" s="5"/>
      <c r="D17" s="5"/>
    </row>
    <row r="18" spans="1:15" x14ac:dyDescent="0.25">
      <c r="A18" s="5"/>
      <c r="B18" s="5" t="s">
        <v>1</v>
      </c>
      <c r="C18" s="5" t="s">
        <v>2</v>
      </c>
      <c r="D18" s="5" t="s">
        <v>3</v>
      </c>
      <c r="F18" s="5" t="s">
        <v>30</v>
      </c>
      <c r="G18" s="5"/>
      <c r="H18" s="5" t="s">
        <v>3</v>
      </c>
      <c r="I18" s="5" t="s">
        <v>1</v>
      </c>
      <c r="J18" s="5" t="s">
        <v>2</v>
      </c>
      <c r="M18" s="5" t="s">
        <v>33</v>
      </c>
      <c r="N18" s="5" t="s">
        <v>32</v>
      </c>
      <c r="O18" s="5" t="s">
        <v>35</v>
      </c>
    </row>
    <row r="19" spans="1:15" x14ac:dyDescent="0.25">
      <c r="A19" s="5" t="s">
        <v>20</v>
      </c>
      <c r="B19" s="5"/>
      <c r="C19" s="5"/>
      <c r="D19" s="5">
        <f>RADIANS(B19+C19/60)</f>
        <v>0</v>
      </c>
      <c r="F19" s="5"/>
      <c r="G19" s="5" t="s">
        <v>31</v>
      </c>
      <c r="H19" s="5">
        <f>ABS(F19-$D$7)</f>
        <v>0</v>
      </c>
      <c r="I19" s="5">
        <f>INT(DEGREES(H19))</f>
        <v>0</v>
      </c>
      <c r="J19" s="5">
        <f>60*(DEGREES(H19)-INT(DEGREES(H19)))</f>
        <v>0</v>
      </c>
      <c r="M19" s="5" t="e">
        <f>SIN((H19+$E$3)/2)/SIN($E$3/2)</f>
        <v>#DIV/0!</v>
      </c>
      <c r="N19" s="5" t="e">
        <f>(COS((H19+$E$3)/2)/(2*SIN($E$3/2))*H20)^2+((0.5*COS((H19+$E$3)/2)*SIN($E$3/2)-0.5*COS($E$3/2)*SIN((H19+$E$3)/2))*$E$4/(SIN($E$3/2)^2))^2</f>
        <v>#DIV/0!</v>
      </c>
      <c r="O19" s="5" t="e">
        <f>SQRT(N19)</f>
        <v>#DIV/0!</v>
      </c>
    </row>
    <row r="22" spans="1:15" x14ac:dyDescent="0.25">
      <c r="A22" s="5"/>
      <c r="B22" s="5" t="s">
        <v>17</v>
      </c>
      <c r="C22" s="5"/>
      <c r="D22" s="5"/>
    </row>
    <row r="23" spans="1:15" x14ac:dyDescent="0.25">
      <c r="A23" s="5" t="s">
        <v>23</v>
      </c>
      <c r="B23" s="5">
        <f>0.000000435833</f>
        <v>4.3583299999999998E-7</v>
      </c>
      <c r="C23" s="5"/>
      <c r="D23" s="5"/>
      <c r="F23" s="5"/>
      <c r="G23" s="5"/>
    </row>
    <row r="24" spans="1:15" x14ac:dyDescent="0.25">
      <c r="A24" s="5"/>
      <c r="B24" s="5" t="s">
        <v>1</v>
      </c>
      <c r="C24" s="5" t="s">
        <v>2</v>
      </c>
      <c r="D24" s="5" t="s">
        <v>3</v>
      </c>
      <c r="F24" s="5" t="s">
        <v>30</v>
      </c>
      <c r="G24" s="5"/>
      <c r="H24" s="5" t="s">
        <v>3</v>
      </c>
      <c r="I24" s="5" t="s">
        <v>1</v>
      </c>
      <c r="J24" s="5" t="s">
        <v>2</v>
      </c>
      <c r="M24" s="5" t="s">
        <v>33</v>
      </c>
      <c r="N24" s="5" t="s">
        <v>32</v>
      </c>
      <c r="O24" s="5" t="s">
        <v>35</v>
      </c>
    </row>
    <row r="25" spans="1:15" x14ac:dyDescent="0.25">
      <c r="A25" s="5" t="s">
        <v>20</v>
      </c>
      <c r="B25" s="5"/>
      <c r="C25" s="5"/>
      <c r="D25" s="5">
        <f>RADIANS(B25+C25/60)</f>
        <v>0</v>
      </c>
      <c r="F25" s="5"/>
      <c r="G25" s="5" t="s">
        <v>31</v>
      </c>
      <c r="H25" s="5">
        <f>ABS(F25-$D$7)</f>
        <v>0</v>
      </c>
      <c r="I25" s="5">
        <f>INT(DEGREES(H25))</f>
        <v>0</v>
      </c>
      <c r="J25" s="5">
        <f>60*(DEGREES(H25)-INT(DEGREES(H25)))</f>
        <v>0</v>
      </c>
      <c r="M25" s="5" t="e">
        <f>SIN((H25+$E$3)/2)/SIN($E$3/2)</f>
        <v>#DIV/0!</v>
      </c>
      <c r="N25" s="5" t="e">
        <f>(COS((H25+$E$3)/2)/(2*SIN($E$3/2))*H26)^2+((0.5*COS((H25+$E$3)/2)*SIN($E$3/2)-0.5*COS($E$3/2)*SIN((H25+$E$3)/2))*$E$4/(SIN($E$3/2)^2))^2</f>
        <v>#DIV/0!</v>
      </c>
      <c r="O25" s="5" t="e">
        <f>SQRT(N25)</f>
        <v>#DIV/0!</v>
      </c>
    </row>
    <row r="28" spans="1:15" x14ac:dyDescent="0.25">
      <c r="A28" s="5"/>
      <c r="B28" s="5" t="s">
        <v>17</v>
      </c>
      <c r="C28" s="5"/>
      <c r="D28" s="5"/>
    </row>
    <row r="29" spans="1:15" x14ac:dyDescent="0.25">
      <c r="A29" s="5" t="s">
        <v>24</v>
      </c>
      <c r="B29" s="5">
        <f>491.607*0.000000001</f>
        <v>4.9160700000000007E-7</v>
      </c>
      <c r="C29" s="5"/>
      <c r="D29" s="5"/>
    </row>
    <row r="30" spans="1:15" x14ac:dyDescent="0.25">
      <c r="A30" s="5"/>
      <c r="B30" s="5" t="s">
        <v>1</v>
      </c>
      <c r="C30" s="5" t="s">
        <v>2</v>
      </c>
      <c r="D30" s="5" t="s">
        <v>3</v>
      </c>
      <c r="F30" s="5" t="s">
        <v>30</v>
      </c>
      <c r="G30" s="5"/>
      <c r="H30" s="5" t="s">
        <v>3</v>
      </c>
      <c r="I30" s="5" t="s">
        <v>1</v>
      </c>
      <c r="J30" s="5" t="s">
        <v>2</v>
      </c>
      <c r="M30" s="5" t="s">
        <v>33</v>
      </c>
      <c r="N30" s="5" t="s">
        <v>32</v>
      </c>
      <c r="O30" s="5" t="s">
        <v>35</v>
      </c>
    </row>
    <row r="31" spans="1:15" x14ac:dyDescent="0.25">
      <c r="A31" s="5" t="s">
        <v>20</v>
      </c>
      <c r="B31" s="5"/>
      <c r="C31" s="5"/>
      <c r="D31" s="5">
        <f>RADIANS(B31+C31/60)</f>
        <v>0</v>
      </c>
      <c r="F31" s="5"/>
      <c r="G31" s="5" t="s">
        <v>31</v>
      </c>
      <c r="H31" s="5">
        <f>ABS(F31-$D$7)</f>
        <v>0</v>
      </c>
      <c r="I31" s="5">
        <f>INT(DEGREES(H31))</f>
        <v>0</v>
      </c>
      <c r="J31" s="5">
        <f>60*(DEGREES(H31)-INT(DEGREES(H31)))</f>
        <v>0</v>
      </c>
      <c r="M31" s="5" t="e">
        <f>SIN((H31+$E$3)/2)/SIN($E$3/2)</f>
        <v>#DIV/0!</v>
      </c>
      <c r="N31" s="5" t="e">
        <f>(COS((H31+$E$3)/2)/(2*SIN($E$3/2))*H32)^2+((0.5*COS((H31+$E$3)/2)*SIN($E$3/2)-0.5*COS($E$3/2)*SIN((H31+$E$3)/2))*$E$4/(SIN($E$3/2)^2))^2</f>
        <v>#DIV/0!</v>
      </c>
      <c r="O31" s="5" t="e">
        <f>SQRT(N31)</f>
        <v>#DIV/0!</v>
      </c>
    </row>
    <row r="34" spans="1:15" x14ac:dyDescent="0.25">
      <c r="A34" s="5"/>
      <c r="B34" s="5" t="s">
        <v>17</v>
      </c>
      <c r="C34" s="5"/>
      <c r="D34" s="5"/>
    </row>
    <row r="35" spans="1:15" x14ac:dyDescent="0.25">
      <c r="A35" s="5" t="s">
        <v>25</v>
      </c>
      <c r="B35" s="5">
        <f>497.037*0.000000001</f>
        <v>4.9703700000000003E-7</v>
      </c>
      <c r="C35" s="5"/>
      <c r="D35" s="5"/>
    </row>
    <row r="36" spans="1:15" x14ac:dyDescent="0.25">
      <c r="A36" s="5"/>
      <c r="B36" s="5" t="s">
        <v>1</v>
      </c>
      <c r="C36" s="5" t="s">
        <v>2</v>
      </c>
      <c r="D36" s="5" t="s">
        <v>3</v>
      </c>
      <c r="F36" s="5" t="s">
        <v>30</v>
      </c>
      <c r="G36" s="5"/>
      <c r="H36" s="5" t="s">
        <v>3</v>
      </c>
      <c r="I36" s="5" t="s">
        <v>1</v>
      </c>
      <c r="J36" s="5" t="s">
        <v>2</v>
      </c>
      <c r="M36" s="5" t="s">
        <v>33</v>
      </c>
      <c r="N36" s="5" t="s">
        <v>32</v>
      </c>
      <c r="O36" s="5" t="s">
        <v>35</v>
      </c>
    </row>
    <row r="37" spans="1:15" x14ac:dyDescent="0.25">
      <c r="A37" s="5" t="s">
        <v>20</v>
      </c>
      <c r="B37" s="5"/>
      <c r="C37" s="5"/>
      <c r="D37" s="5">
        <f>RADIANS(B37+C37/60)</f>
        <v>0</v>
      </c>
      <c r="F37" s="5"/>
      <c r="G37" s="5" t="s">
        <v>31</v>
      </c>
      <c r="H37" s="5">
        <f>ABS(F37-$D$7)</f>
        <v>0</v>
      </c>
      <c r="I37" s="5">
        <f>INT(DEGREES(H37))</f>
        <v>0</v>
      </c>
      <c r="J37" s="5">
        <f>60*(DEGREES(H37)-INT(DEGREES(H37)))</f>
        <v>0</v>
      </c>
      <c r="M37" s="5" t="e">
        <f>SIN((H37+$E$3)/2)/SIN($E$3/2)</f>
        <v>#DIV/0!</v>
      </c>
      <c r="N37" s="5" t="e">
        <f>(COS((H37+$E$3)/2)/(2*SIN($E$3/2))*H38)^2+((0.5*COS((H37+$E$3)/2)*SIN($E$3/2)-0.5*COS($E$3/2)*SIN((H37+$E$3)/2))*$E$4/(SIN($E$3/2)^2))^2</f>
        <v>#DIV/0!</v>
      </c>
      <c r="O37" s="5" t="e">
        <f>SQRT(N37)</f>
        <v>#DIV/0!</v>
      </c>
    </row>
    <row r="40" spans="1:15" x14ac:dyDescent="0.25">
      <c r="A40" s="5"/>
      <c r="B40" s="5" t="s">
        <v>17</v>
      </c>
      <c r="C40" s="5"/>
      <c r="D40" s="5"/>
    </row>
    <row r="41" spans="1:15" x14ac:dyDescent="0.25">
      <c r="A41" s="5" t="s">
        <v>26</v>
      </c>
      <c r="B41" s="5">
        <f>546.074*0.000000001</f>
        <v>5.4607399999999997E-7</v>
      </c>
      <c r="C41" s="5"/>
      <c r="D41" s="5"/>
    </row>
    <row r="42" spans="1:15" x14ac:dyDescent="0.25">
      <c r="A42" s="5"/>
      <c r="B42" s="5" t="s">
        <v>1</v>
      </c>
      <c r="C42" s="5" t="s">
        <v>2</v>
      </c>
      <c r="D42" s="5" t="s">
        <v>3</v>
      </c>
      <c r="F42" s="5" t="s">
        <v>30</v>
      </c>
      <c r="G42" s="5"/>
      <c r="H42" s="5" t="s">
        <v>3</v>
      </c>
      <c r="I42" s="5" t="s">
        <v>1</v>
      </c>
      <c r="J42" s="5" t="s">
        <v>2</v>
      </c>
      <c r="M42" s="5" t="s">
        <v>33</v>
      </c>
      <c r="N42" s="5" t="s">
        <v>32</v>
      </c>
      <c r="O42" s="5" t="s">
        <v>35</v>
      </c>
    </row>
    <row r="43" spans="1:15" x14ac:dyDescent="0.25">
      <c r="A43" s="5" t="s">
        <v>20</v>
      </c>
      <c r="B43" s="5"/>
      <c r="C43" s="5"/>
      <c r="D43" s="5">
        <f>RADIANS(B43+C43/60)</f>
        <v>0</v>
      </c>
      <c r="F43" s="5"/>
      <c r="G43" s="5" t="s">
        <v>31</v>
      </c>
      <c r="H43" s="5">
        <f>ABS(F43-$D$7)</f>
        <v>0</v>
      </c>
      <c r="I43" s="5">
        <f>INT(DEGREES(H43))</f>
        <v>0</v>
      </c>
      <c r="J43" s="5">
        <f>60*(DEGREES(H43)-INT(DEGREES(H43)))</f>
        <v>0</v>
      </c>
      <c r="M43" s="5" t="e">
        <f>SIN((H43+$E$3)/2)/SIN($E$3/2)</f>
        <v>#DIV/0!</v>
      </c>
      <c r="N43" s="5" t="e">
        <f>(COS((H43+$E$3)/2)/(2*SIN($E$3/2))*H44)^2+((0.5*COS((H43+$E$3)/2)*SIN($E$3/2)-0.5*COS($E$3/2)*SIN((H43+$E$3)/2))*$E$4/(SIN($E$3/2)^2))^2</f>
        <v>#DIV/0!</v>
      </c>
      <c r="O43" s="5" t="e">
        <f>SQRT(N43)</f>
        <v>#DIV/0!</v>
      </c>
    </row>
    <row r="46" spans="1:15" x14ac:dyDescent="0.25">
      <c r="A46" s="5"/>
      <c r="B46" s="5" t="s">
        <v>17</v>
      </c>
      <c r="C46" s="5"/>
      <c r="D46" s="5"/>
    </row>
    <row r="47" spans="1:15" x14ac:dyDescent="0.25">
      <c r="A47" s="5" t="s">
        <v>27</v>
      </c>
      <c r="B47" s="5">
        <f>576.96*0.000000001</f>
        <v>5.7696000000000011E-7</v>
      </c>
      <c r="C47" s="5"/>
      <c r="D47" s="5"/>
    </row>
    <row r="48" spans="1:15" x14ac:dyDescent="0.25">
      <c r="A48" s="5"/>
      <c r="B48" s="5" t="s">
        <v>1</v>
      </c>
      <c r="C48" s="5" t="s">
        <v>2</v>
      </c>
      <c r="D48" s="5" t="s">
        <v>3</v>
      </c>
      <c r="F48" s="5" t="s">
        <v>30</v>
      </c>
      <c r="G48" s="5"/>
      <c r="H48" s="5" t="s">
        <v>3</v>
      </c>
      <c r="I48" s="5" t="s">
        <v>1</v>
      </c>
      <c r="J48" s="5" t="s">
        <v>2</v>
      </c>
      <c r="M48" s="5" t="s">
        <v>33</v>
      </c>
      <c r="N48" s="5" t="s">
        <v>32</v>
      </c>
      <c r="O48" s="5" t="s">
        <v>35</v>
      </c>
    </row>
    <row r="49" spans="1:15" x14ac:dyDescent="0.25">
      <c r="A49" s="5" t="s">
        <v>20</v>
      </c>
      <c r="B49" s="5"/>
      <c r="C49" s="5"/>
      <c r="D49" s="5">
        <f>RADIANS(B49+C49/60)</f>
        <v>0</v>
      </c>
      <c r="F49" s="5"/>
      <c r="G49" s="5" t="s">
        <v>31</v>
      </c>
      <c r="H49" s="5">
        <f>ABS(F49-$D$7)</f>
        <v>0</v>
      </c>
      <c r="I49" s="5">
        <f>INT(DEGREES(H49))</f>
        <v>0</v>
      </c>
      <c r="J49" s="5">
        <f>60*(DEGREES(H49)-INT(DEGREES(H49)))</f>
        <v>0</v>
      </c>
      <c r="M49" s="5" t="e">
        <f>SIN((H49+$E$3)/2)/SIN($E$3/2)</f>
        <v>#DIV/0!</v>
      </c>
      <c r="N49" s="5" t="e">
        <f>(COS((H49+$E$3)/2)/(2*SIN($E$3/2))*H50)^2+((0.5*COS((H49+$E$3)/2)*SIN($E$3/2)-0.5*COS($E$3/2)*SIN((H49+$E$3)/2))*$E$4/(SIN($E$3/2)^2))^2</f>
        <v>#DIV/0!</v>
      </c>
      <c r="O49" s="5" t="e">
        <f>SQRT(N49)</f>
        <v>#DIV/0!</v>
      </c>
    </row>
    <row r="50" spans="1:15" x14ac:dyDescent="0.25">
      <c r="G50" s="5"/>
    </row>
    <row r="51" spans="1:15" x14ac:dyDescent="0.25">
      <c r="G51" s="5"/>
    </row>
    <row r="52" spans="1:15" x14ac:dyDescent="0.25">
      <c r="A52" s="5"/>
      <c r="B52" s="5" t="s">
        <v>17</v>
      </c>
      <c r="C52" s="5"/>
      <c r="D52" s="5"/>
      <c r="G52" s="5"/>
    </row>
    <row r="53" spans="1:15" x14ac:dyDescent="0.25">
      <c r="A53" s="5" t="s">
        <v>28</v>
      </c>
      <c r="B53" s="5">
        <f>578.966*0.000000001</f>
        <v>5.78966E-7</v>
      </c>
      <c r="C53" s="5"/>
      <c r="D53" s="5"/>
    </row>
    <row r="54" spans="1:15" x14ac:dyDescent="0.25">
      <c r="A54" s="5"/>
      <c r="B54" s="5" t="s">
        <v>1</v>
      </c>
      <c r="C54" s="5" t="s">
        <v>2</v>
      </c>
      <c r="D54" s="5" t="s">
        <v>3</v>
      </c>
      <c r="F54" s="5" t="s">
        <v>30</v>
      </c>
      <c r="G54" s="5"/>
      <c r="H54" s="5" t="s">
        <v>3</v>
      </c>
      <c r="I54" s="5" t="s">
        <v>1</v>
      </c>
      <c r="J54" s="5" t="s">
        <v>2</v>
      </c>
      <c r="M54" s="5" t="s">
        <v>33</v>
      </c>
      <c r="N54" s="5" t="s">
        <v>32</v>
      </c>
      <c r="O54" s="5" t="s">
        <v>35</v>
      </c>
    </row>
    <row r="55" spans="1:15" x14ac:dyDescent="0.25">
      <c r="A55" s="5" t="s">
        <v>20</v>
      </c>
      <c r="B55" s="5"/>
      <c r="C55" s="5"/>
      <c r="D55" s="5">
        <f>RADIANS(B55+C55/60)</f>
        <v>0</v>
      </c>
      <c r="F55" s="5"/>
      <c r="G55" s="5" t="s">
        <v>31</v>
      </c>
      <c r="H55" s="5">
        <f>ABS(F55-$D$7)</f>
        <v>0</v>
      </c>
      <c r="I55" s="5">
        <f>INT(DEGREES(H55))</f>
        <v>0</v>
      </c>
      <c r="J55" s="5">
        <f>60*(DEGREES(H55)-INT(DEGREES(H55)))</f>
        <v>0</v>
      </c>
      <c r="M55" s="5" t="e">
        <f>SIN((H55+$E$3)/2)/SIN($E$3/2)</f>
        <v>#DIV/0!</v>
      </c>
      <c r="N55" s="5" t="e">
        <f>(COS((H55+$E$3)/2)/(2*SIN($E$3/2))*H56)^2+((0.5*COS((H55+$E$3)/2)*SIN($E$3/2)-0.5*COS($E$3/2)*SIN((H55+$E$3)/2))*$E$4/(SIN($E$3/2)^2))^2</f>
        <v>#DIV/0!</v>
      </c>
      <c r="O55" s="5" t="e">
        <f>SQRT(N55)</f>
        <v>#DIV/0!</v>
      </c>
    </row>
    <row r="58" spans="1:15" x14ac:dyDescent="0.25">
      <c r="A58" s="5"/>
      <c r="B58" s="5" t="s">
        <v>17</v>
      </c>
      <c r="C58" s="5"/>
      <c r="D58" s="5"/>
    </row>
    <row r="59" spans="1:15" x14ac:dyDescent="0.25">
      <c r="A59" s="5" t="s">
        <v>29</v>
      </c>
      <c r="B59" s="5">
        <f>623.44*0.000000001</f>
        <v>6.2344000000000008E-7</v>
      </c>
      <c r="C59" s="5"/>
      <c r="D59" s="5"/>
    </row>
    <row r="60" spans="1:15" x14ac:dyDescent="0.25">
      <c r="A60" s="5"/>
      <c r="B60" s="5" t="s">
        <v>1</v>
      </c>
      <c r="C60" s="5" t="s">
        <v>2</v>
      </c>
      <c r="D60" s="5" t="s">
        <v>3</v>
      </c>
      <c r="F60" s="5" t="s">
        <v>30</v>
      </c>
      <c r="G60" s="5"/>
      <c r="H60" s="5" t="s">
        <v>3</v>
      </c>
      <c r="I60" s="5" t="s">
        <v>1</v>
      </c>
      <c r="J60" s="5" t="s">
        <v>2</v>
      </c>
      <c r="M60" s="5" t="s">
        <v>33</v>
      </c>
      <c r="N60" s="5" t="s">
        <v>32</v>
      </c>
      <c r="O60" s="5" t="s">
        <v>35</v>
      </c>
    </row>
    <row r="61" spans="1:15" x14ac:dyDescent="0.25">
      <c r="A61" s="5" t="s">
        <v>20</v>
      </c>
      <c r="B61" s="5"/>
      <c r="C61" s="5"/>
      <c r="D61" s="5">
        <f>RADIANS(B61+C61/60)</f>
        <v>0</v>
      </c>
      <c r="F61" s="5"/>
      <c r="G61" s="5" t="s">
        <v>31</v>
      </c>
      <c r="H61" s="5">
        <f>ABS(F61-$D$7)</f>
        <v>0</v>
      </c>
      <c r="I61" s="5">
        <f>INT(DEGREES(H61))</f>
        <v>0</v>
      </c>
      <c r="J61" s="5">
        <f>60*(DEGREES(H61)-INT(DEGREES(H61)))</f>
        <v>0</v>
      </c>
      <c r="M61" s="5" t="e">
        <f>SIN((H61+$E$3)/2)/SIN($E$3/2)</f>
        <v>#DIV/0!</v>
      </c>
      <c r="N61" s="5" t="e">
        <f>(COS((H61+$E$3)/2)/(2*SIN($E$3/2))*H62)^2+((0.5*COS((H61+$E$3)/2)*SIN($E$3/2)-0.5*COS($E$3/2)*SIN((H61+$E$3)/2))*$E$4/(SIN($E$3/2)^2))^2</f>
        <v>#DIV/0!</v>
      </c>
      <c r="O61" s="5" t="e">
        <f>SQRT(N61)</f>
        <v>#DIV/0!</v>
      </c>
    </row>
    <row r="62" spans="1:15" x14ac:dyDescent="0.25">
      <c r="G6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E23" sqref="E23"/>
    </sheetView>
  </sheetViews>
  <sheetFormatPr defaultRowHeight="15" x14ac:dyDescent="0.25"/>
  <cols>
    <col min="1" max="1" width="13.85546875" bestFit="1" customWidth="1"/>
    <col min="4" max="4" width="9.42578125" bestFit="1" customWidth="1"/>
    <col min="5" max="5" width="12" bestFit="1" customWidth="1"/>
  </cols>
  <sheetData>
    <row r="1" spans="1:13" x14ac:dyDescent="0.25">
      <c r="A1" t="s">
        <v>36</v>
      </c>
    </row>
    <row r="4" spans="1:13" x14ac:dyDescent="0.25">
      <c r="A4" s="5"/>
      <c r="B4" s="5"/>
      <c r="C4" s="5"/>
      <c r="D4" s="5" t="s">
        <v>41</v>
      </c>
      <c r="E4" t="s">
        <v>42</v>
      </c>
      <c r="F4" t="s">
        <v>43</v>
      </c>
      <c r="G4" t="s">
        <v>41</v>
      </c>
      <c r="H4" t="s">
        <v>45</v>
      </c>
      <c r="I4" t="s">
        <v>44</v>
      </c>
      <c r="J4" t="s">
        <v>46</v>
      </c>
      <c r="K4" t="s">
        <v>47</v>
      </c>
      <c r="L4" t="s">
        <v>53</v>
      </c>
      <c r="M4" t="s">
        <v>54</v>
      </c>
    </row>
    <row r="5" spans="1:13" x14ac:dyDescent="0.25">
      <c r="A5" s="5"/>
      <c r="B5" s="5" t="s">
        <v>17</v>
      </c>
      <c r="C5" s="5" t="s">
        <v>37</v>
      </c>
      <c r="D5" s="5" t="s">
        <v>38</v>
      </c>
      <c r="E5" t="s">
        <v>39</v>
      </c>
      <c r="F5" t="s">
        <v>40</v>
      </c>
    </row>
    <row r="6" spans="1:13" x14ac:dyDescent="0.25">
      <c r="A6" s="5" t="s">
        <v>16</v>
      </c>
      <c r="B6" s="5">
        <f>404.656*0.000000001</f>
        <v>4.0465600000000002E-7</v>
      </c>
      <c r="C6" s="5" t="e">
        <f>n!M13</f>
        <v>#DIV/0!</v>
      </c>
      <c r="D6" s="5" t="e">
        <f>n!O13</f>
        <v>#DIV/0!</v>
      </c>
      <c r="E6">
        <f>B6^-2</f>
        <v>6107001568290.5088</v>
      </c>
      <c r="F6" t="e">
        <f>C6^-2</f>
        <v>#DIV/0!</v>
      </c>
      <c r="G6" t="e">
        <f>D6^2</f>
        <v>#DIV/0!</v>
      </c>
      <c r="H6" t="e">
        <f>G6*E6</f>
        <v>#DIV/0!</v>
      </c>
      <c r="I6" t="e">
        <f>G6*E6^2</f>
        <v>#DIV/0!</v>
      </c>
      <c r="J6" t="e">
        <f>G6*F6</f>
        <v>#DIV/0!</v>
      </c>
      <c r="K6" t="e">
        <f>G6*E6*F6</f>
        <v>#DIV/0!</v>
      </c>
      <c r="L6" t="e">
        <f>(G6*$I$15-H6*$H$15)^2*1/G6^2</f>
        <v>#DIV/0!</v>
      </c>
      <c r="M6" t="e">
        <f>(H6*$G$15-G6*$H$15)^2*1/G6^2</f>
        <v>#DIV/0!</v>
      </c>
    </row>
    <row r="7" spans="1:13" x14ac:dyDescent="0.25">
      <c r="A7" s="5" t="s">
        <v>22</v>
      </c>
      <c r="B7" s="5">
        <f>407.783*0.000000001</f>
        <v>4.0778300000000005E-7</v>
      </c>
      <c r="C7" s="5" t="e">
        <f>n!M19</f>
        <v>#DIV/0!</v>
      </c>
      <c r="D7" s="5" t="e">
        <f>n!O19</f>
        <v>#DIV/0!</v>
      </c>
      <c r="E7" s="5">
        <f t="shared" ref="E7:E14" si="0">B7^-2</f>
        <v>6013700107689.0146</v>
      </c>
      <c r="F7" s="5" t="e">
        <f t="shared" ref="F7:F14" si="1">D7^-2</f>
        <v>#DIV/0!</v>
      </c>
      <c r="G7" s="5" t="e">
        <f t="shared" ref="G7:G14" si="2">D7^2</f>
        <v>#DIV/0!</v>
      </c>
      <c r="H7" s="5" t="e">
        <f t="shared" ref="H7:H14" si="3">G7*E7</f>
        <v>#DIV/0!</v>
      </c>
      <c r="I7" s="5" t="e">
        <f t="shared" ref="I7:I14" si="4">G7*E7^2</f>
        <v>#DIV/0!</v>
      </c>
      <c r="J7" s="5" t="e">
        <f t="shared" ref="J7:J14" si="5">G7*F7</f>
        <v>#DIV/0!</v>
      </c>
      <c r="K7" s="5" t="e">
        <f t="shared" ref="K7:K14" si="6">G7*E7*F7</f>
        <v>#DIV/0!</v>
      </c>
      <c r="L7" s="5" t="e">
        <f t="shared" ref="L7:L14" si="7">(G7*$I$15-H7*$H$15)^2*1/G7^2</f>
        <v>#DIV/0!</v>
      </c>
      <c r="M7" s="5" t="e">
        <f t="shared" ref="M7:M14" si="8">(H7*$G$15-G7*$H$15)^2*1/G7^2</f>
        <v>#DIV/0!</v>
      </c>
    </row>
    <row r="8" spans="1:13" x14ac:dyDescent="0.25">
      <c r="A8" s="5" t="s">
        <v>23</v>
      </c>
      <c r="B8" s="5">
        <f>0.000000435833</f>
        <v>4.3583299999999998E-7</v>
      </c>
      <c r="C8" s="5" t="e">
        <f>n!M25</f>
        <v>#DIV/0!</v>
      </c>
      <c r="D8" s="5" t="e">
        <f>n!O25</f>
        <v>#DIV/0!</v>
      </c>
      <c r="E8" s="5">
        <f t="shared" si="0"/>
        <v>5264532106940.7314</v>
      </c>
      <c r="F8" s="5" t="e">
        <f t="shared" si="1"/>
        <v>#DIV/0!</v>
      </c>
      <c r="G8" s="5" t="e">
        <f t="shared" si="2"/>
        <v>#DIV/0!</v>
      </c>
      <c r="H8" s="5" t="e">
        <f t="shared" si="3"/>
        <v>#DIV/0!</v>
      </c>
      <c r="I8" s="5" t="e">
        <f t="shared" si="4"/>
        <v>#DIV/0!</v>
      </c>
      <c r="J8" s="5" t="e">
        <f t="shared" si="5"/>
        <v>#DIV/0!</v>
      </c>
      <c r="K8" s="5" t="e">
        <f t="shared" si="6"/>
        <v>#DIV/0!</v>
      </c>
      <c r="L8" s="5" t="e">
        <f t="shared" si="7"/>
        <v>#DIV/0!</v>
      </c>
      <c r="M8" s="5" t="e">
        <f t="shared" si="8"/>
        <v>#DIV/0!</v>
      </c>
    </row>
    <row r="9" spans="1:13" x14ac:dyDescent="0.25">
      <c r="A9" s="5" t="s">
        <v>24</v>
      </c>
      <c r="B9" s="5">
        <f>491.607*0.000000001</f>
        <v>4.9160700000000007E-7</v>
      </c>
      <c r="C9" s="5" t="e">
        <f>n!M31</f>
        <v>#DIV/0!</v>
      </c>
      <c r="D9" s="5" t="e">
        <f>n!O31</f>
        <v>#DIV/0!</v>
      </c>
      <c r="E9" s="5">
        <f t="shared" si="0"/>
        <v>4137746534664.793</v>
      </c>
      <c r="F9" s="5" t="e">
        <f t="shared" si="1"/>
        <v>#DIV/0!</v>
      </c>
      <c r="G9" s="5" t="e">
        <f t="shared" si="2"/>
        <v>#DIV/0!</v>
      </c>
      <c r="H9" s="5" t="e">
        <f t="shared" si="3"/>
        <v>#DIV/0!</v>
      </c>
      <c r="I9" s="5" t="e">
        <f t="shared" si="4"/>
        <v>#DIV/0!</v>
      </c>
      <c r="J9" s="5" t="e">
        <f t="shared" si="5"/>
        <v>#DIV/0!</v>
      </c>
      <c r="K9" s="5" t="e">
        <f t="shared" si="6"/>
        <v>#DIV/0!</v>
      </c>
      <c r="L9" s="5" t="e">
        <f t="shared" si="7"/>
        <v>#DIV/0!</v>
      </c>
      <c r="M9" s="5" t="e">
        <f t="shared" si="8"/>
        <v>#DIV/0!</v>
      </c>
    </row>
    <row r="10" spans="1:13" x14ac:dyDescent="0.25">
      <c r="A10" s="5" t="s">
        <v>25</v>
      </c>
      <c r="B10" s="5">
        <f>497.037*0.000000001</f>
        <v>4.9703700000000003E-7</v>
      </c>
      <c r="C10" s="5" t="e">
        <f>n!M37</f>
        <v>#DIV/0!</v>
      </c>
      <c r="D10" s="5" t="e">
        <f>n!O37</f>
        <v>#DIV/0!</v>
      </c>
      <c r="E10" s="5">
        <f t="shared" si="0"/>
        <v>4047832764251.9629</v>
      </c>
      <c r="F10" s="5" t="e">
        <f t="shared" si="1"/>
        <v>#DIV/0!</v>
      </c>
      <c r="G10" s="5" t="e">
        <f t="shared" si="2"/>
        <v>#DIV/0!</v>
      </c>
      <c r="H10" s="5" t="e">
        <f t="shared" si="3"/>
        <v>#DIV/0!</v>
      </c>
      <c r="I10" s="5" t="e">
        <f t="shared" si="4"/>
        <v>#DIV/0!</v>
      </c>
      <c r="J10" s="5" t="e">
        <f t="shared" si="5"/>
        <v>#DIV/0!</v>
      </c>
      <c r="K10" s="5" t="e">
        <f t="shared" si="6"/>
        <v>#DIV/0!</v>
      </c>
      <c r="L10" s="5" t="e">
        <f t="shared" si="7"/>
        <v>#DIV/0!</v>
      </c>
      <c r="M10" s="5" t="e">
        <f t="shared" si="8"/>
        <v>#DIV/0!</v>
      </c>
    </row>
    <row r="11" spans="1:13" x14ac:dyDescent="0.25">
      <c r="A11" s="5" t="s">
        <v>26</v>
      </c>
      <c r="B11" s="5">
        <f>546.074*0.000000001</f>
        <v>5.4607399999999997E-7</v>
      </c>
      <c r="C11" s="5" t="e">
        <f>n!M43</f>
        <v>#DIV/0!</v>
      </c>
      <c r="D11" s="5" t="e">
        <f>n!O43</f>
        <v>#DIV/0!</v>
      </c>
      <c r="E11" s="5">
        <f t="shared" si="0"/>
        <v>3353489892609.0767</v>
      </c>
      <c r="F11" s="5" t="e">
        <f t="shared" si="1"/>
        <v>#DIV/0!</v>
      </c>
      <c r="G11" s="5" t="e">
        <f t="shared" si="2"/>
        <v>#DIV/0!</v>
      </c>
      <c r="H11" s="5" t="e">
        <f t="shared" si="3"/>
        <v>#DIV/0!</v>
      </c>
      <c r="I11" s="5" t="e">
        <f t="shared" si="4"/>
        <v>#DIV/0!</v>
      </c>
      <c r="J11" s="5" t="e">
        <f t="shared" si="5"/>
        <v>#DIV/0!</v>
      </c>
      <c r="K11" s="5" t="e">
        <f t="shared" si="6"/>
        <v>#DIV/0!</v>
      </c>
      <c r="L11" s="5" t="e">
        <f t="shared" si="7"/>
        <v>#DIV/0!</v>
      </c>
      <c r="M11" s="5" t="e">
        <f t="shared" si="8"/>
        <v>#DIV/0!</v>
      </c>
    </row>
    <row r="12" spans="1:13" x14ac:dyDescent="0.25">
      <c r="A12" s="5" t="s">
        <v>27</v>
      </c>
      <c r="B12" s="5">
        <f>576.96*0.000000001</f>
        <v>5.7696000000000011E-7</v>
      </c>
      <c r="C12" s="5" t="e">
        <f>n!M49</f>
        <v>#DIV/0!</v>
      </c>
      <c r="D12" s="5" t="e">
        <f>n!O49</f>
        <v>#DIV/0!</v>
      </c>
      <c r="E12" s="5">
        <f t="shared" si="0"/>
        <v>3004059912471.0176</v>
      </c>
      <c r="F12" s="5" t="e">
        <f t="shared" si="1"/>
        <v>#DIV/0!</v>
      </c>
      <c r="G12" s="5" t="e">
        <f t="shared" si="2"/>
        <v>#DIV/0!</v>
      </c>
      <c r="H12" s="5" t="e">
        <f t="shared" si="3"/>
        <v>#DIV/0!</v>
      </c>
      <c r="I12" s="5" t="e">
        <f t="shared" si="4"/>
        <v>#DIV/0!</v>
      </c>
      <c r="J12" s="5" t="e">
        <f t="shared" si="5"/>
        <v>#DIV/0!</v>
      </c>
      <c r="K12" s="5" t="e">
        <f t="shared" si="6"/>
        <v>#DIV/0!</v>
      </c>
      <c r="L12" s="5" t="e">
        <f t="shared" si="7"/>
        <v>#DIV/0!</v>
      </c>
      <c r="M12" s="5" t="e">
        <f t="shared" si="8"/>
        <v>#DIV/0!</v>
      </c>
    </row>
    <row r="13" spans="1:13" x14ac:dyDescent="0.25">
      <c r="A13" s="5" t="s">
        <v>28</v>
      </c>
      <c r="B13" s="5">
        <f>578.966*0.000000001</f>
        <v>5.78966E-7</v>
      </c>
      <c r="C13" s="5" t="e">
        <f>n!M55</f>
        <v>#DIV/0!</v>
      </c>
      <c r="D13" s="5" t="e">
        <f>n!O55</f>
        <v>#DIV/0!</v>
      </c>
      <c r="E13" s="5">
        <f t="shared" si="0"/>
        <v>2983279056602.104</v>
      </c>
      <c r="F13" s="5" t="e">
        <f t="shared" si="1"/>
        <v>#DIV/0!</v>
      </c>
      <c r="G13" s="5" t="e">
        <f t="shared" si="2"/>
        <v>#DIV/0!</v>
      </c>
      <c r="H13" s="5" t="e">
        <f t="shared" si="3"/>
        <v>#DIV/0!</v>
      </c>
      <c r="I13" s="5" t="e">
        <f t="shared" si="4"/>
        <v>#DIV/0!</v>
      </c>
      <c r="J13" s="5" t="e">
        <f t="shared" si="5"/>
        <v>#DIV/0!</v>
      </c>
      <c r="K13" s="5" t="e">
        <f t="shared" si="6"/>
        <v>#DIV/0!</v>
      </c>
      <c r="L13" s="5" t="e">
        <f t="shared" si="7"/>
        <v>#DIV/0!</v>
      </c>
      <c r="M13" s="5" t="e">
        <f t="shared" si="8"/>
        <v>#DIV/0!</v>
      </c>
    </row>
    <row r="14" spans="1:13" x14ac:dyDescent="0.25">
      <c r="A14" s="5" t="s">
        <v>29</v>
      </c>
      <c r="B14" s="5">
        <f>623.44*0.000000001</f>
        <v>6.2344000000000008E-7</v>
      </c>
      <c r="C14" s="5" t="e">
        <f>n!M61</f>
        <v>#DIV/0!</v>
      </c>
      <c r="D14" s="5" t="e">
        <f>n!O61</f>
        <v>#DIV/0!</v>
      </c>
      <c r="E14" s="5">
        <f t="shared" si="0"/>
        <v>2572827526254.4072</v>
      </c>
      <c r="F14" s="5" t="e">
        <f t="shared" si="1"/>
        <v>#DIV/0!</v>
      </c>
      <c r="G14" s="5" t="e">
        <f t="shared" si="2"/>
        <v>#DIV/0!</v>
      </c>
      <c r="H14" s="5" t="e">
        <f t="shared" si="3"/>
        <v>#DIV/0!</v>
      </c>
      <c r="I14" s="5" t="e">
        <f t="shared" si="4"/>
        <v>#DIV/0!</v>
      </c>
      <c r="J14" s="5" t="e">
        <f t="shared" si="5"/>
        <v>#DIV/0!</v>
      </c>
      <c r="K14" s="5" t="e">
        <f t="shared" si="6"/>
        <v>#DIV/0!</v>
      </c>
      <c r="L14" s="5" t="e">
        <f t="shared" si="7"/>
        <v>#DIV/0!</v>
      </c>
      <c r="M14" s="5" t="e">
        <f t="shared" si="8"/>
        <v>#DIV/0!</v>
      </c>
    </row>
    <row r="15" spans="1:13" x14ac:dyDescent="0.25">
      <c r="A15" s="5"/>
      <c r="B15" s="5"/>
      <c r="C15" s="5"/>
      <c r="D15" s="5"/>
      <c r="F15" s="1" t="s">
        <v>48</v>
      </c>
      <c r="G15" s="2" t="e">
        <f>SUM(G6:G14)</f>
        <v>#DIV/0!</v>
      </c>
      <c r="H15" s="2" t="e">
        <f t="shared" ref="H15:M15" si="9">SUM(H6:H14)</f>
        <v>#DIV/0!</v>
      </c>
      <c r="I15" s="2" t="e">
        <f t="shared" si="9"/>
        <v>#DIV/0!</v>
      </c>
      <c r="J15" s="2" t="e">
        <f t="shared" si="9"/>
        <v>#DIV/0!</v>
      </c>
      <c r="K15" s="2" t="e">
        <f t="shared" si="9"/>
        <v>#DIV/0!</v>
      </c>
      <c r="L15" s="2" t="e">
        <f t="shared" si="9"/>
        <v>#DIV/0!</v>
      </c>
      <c r="M15" s="2" t="e">
        <f t="shared" si="9"/>
        <v>#DIV/0!</v>
      </c>
    </row>
    <row r="16" spans="1:13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B18" t="s">
        <v>49</v>
      </c>
      <c r="C18" s="5" t="e">
        <f>G15*I15-H15^2</f>
        <v>#DIV/0!</v>
      </c>
      <c r="D18" s="5"/>
    </row>
    <row r="19" spans="1:4" x14ac:dyDescent="0.25">
      <c r="A19" s="5"/>
      <c r="B19" s="5"/>
      <c r="C19" s="5" t="s">
        <v>50</v>
      </c>
      <c r="D19" s="5" t="s">
        <v>6</v>
      </c>
    </row>
    <row r="20" spans="1:4" x14ac:dyDescent="0.25">
      <c r="A20" s="5"/>
      <c r="B20" s="5" t="s">
        <v>51</v>
      </c>
      <c r="C20" s="5" t="e">
        <f>(I15*J15-H15*K15)/C18</f>
        <v>#DIV/0!</v>
      </c>
      <c r="D20" s="5" t="e">
        <f>SQRT(L15/C18^2)</f>
        <v>#DIV/0!</v>
      </c>
    </row>
    <row r="21" spans="1:4" x14ac:dyDescent="0.25">
      <c r="A21" s="5"/>
      <c r="B21" s="5" t="s">
        <v>52</v>
      </c>
      <c r="C21" s="5" t="e">
        <f>(G15*K15-H15*J15)/C18</f>
        <v>#DIV/0!</v>
      </c>
      <c r="D21" s="5" t="e">
        <f>SQRT(M15/C18^2)</f>
        <v>#DIV/0!</v>
      </c>
    </row>
    <row r="22" spans="1:4" x14ac:dyDescent="0.25">
      <c r="A22" s="5"/>
      <c r="B22" s="5"/>
      <c r="C22" s="5"/>
      <c r="D22" s="5"/>
    </row>
    <row r="23" spans="1:4" x14ac:dyDescent="0.25">
      <c r="A23" s="5"/>
      <c r="B23" s="5" t="s">
        <v>55</v>
      </c>
      <c r="C23" s="5" t="e">
        <f>PEARSON(E6:E14,F6:F14)</f>
        <v>#DIV/0!</v>
      </c>
      <c r="D23" s="5"/>
    </row>
    <row r="24" spans="1:4" x14ac:dyDescent="0.25"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 t="s">
        <v>56</v>
      </c>
      <c r="C26" s="5"/>
      <c r="D26" s="5"/>
    </row>
    <row r="27" spans="1:4" x14ac:dyDescent="0.25">
      <c r="A27" s="5"/>
      <c r="B27" s="5" t="e">
        <f>$C$20+$C$21*E6</f>
        <v>#DIV/0!</v>
      </c>
      <c r="C27" s="5"/>
      <c r="D27" s="5"/>
    </row>
    <row r="28" spans="1:4" x14ac:dyDescent="0.25">
      <c r="A28" s="5"/>
      <c r="B28" s="5" t="e">
        <f t="shared" ref="B28:B35" si="10">$C$20+$C$21*E7</f>
        <v>#DIV/0!</v>
      </c>
      <c r="C28" s="5"/>
      <c r="D28" s="5"/>
    </row>
    <row r="29" spans="1:4" x14ac:dyDescent="0.25">
      <c r="A29" s="5"/>
      <c r="B29" s="5" t="e">
        <f t="shared" si="10"/>
        <v>#DIV/0!</v>
      </c>
      <c r="C29" s="5"/>
      <c r="D29" s="5"/>
    </row>
    <row r="30" spans="1:4" x14ac:dyDescent="0.25">
      <c r="B30" s="5" t="e">
        <f t="shared" si="10"/>
        <v>#DIV/0!</v>
      </c>
      <c r="C30" s="5"/>
      <c r="D30" s="5"/>
    </row>
    <row r="31" spans="1:4" x14ac:dyDescent="0.25">
      <c r="A31" s="5"/>
      <c r="B31" s="5" t="e">
        <f t="shared" si="10"/>
        <v>#DIV/0!</v>
      </c>
      <c r="C31" s="5"/>
      <c r="D31" s="5"/>
    </row>
    <row r="32" spans="1:4" x14ac:dyDescent="0.25">
      <c r="A32" s="5"/>
      <c r="B32" s="5" t="e">
        <f t="shared" si="10"/>
        <v>#DIV/0!</v>
      </c>
      <c r="C32" s="5"/>
      <c r="D32" s="5"/>
    </row>
    <row r="33" spans="1:4" x14ac:dyDescent="0.25">
      <c r="A33" s="5"/>
      <c r="B33" s="5" t="e">
        <f t="shared" si="10"/>
        <v>#DIV/0!</v>
      </c>
      <c r="C33" s="5"/>
      <c r="D33" s="5"/>
    </row>
    <row r="34" spans="1:4" x14ac:dyDescent="0.25">
      <c r="A34" s="5"/>
      <c r="B34" s="5" t="e">
        <f t="shared" si="10"/>
        <v>#DIV/0!</v>
      </c>
      <c r="C34" s="5"/>
      <c r="D34" s="5"/>
    </row>
    <row r="35" spans="1:4" x14ac:dyDescent="0.25">
      <c r="A35" s="5"/>
      <c r="B35" s="5" t="e">
        <f>$C$20+$C$21*E14</f>
        <v>#DIV/0!</v>
      </c>
      <c r="C35" s="5"/>
      <c r="D35" s="5"/>
    </row>
    <row r="36" spans="1:4" x14ac:dyDescent="0.25"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Calcolo alpha</vt:lpstr>
      <vt:lpstr>n</vt:lpstr>
      <vt:lpstr>Retta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Passaro</dc:creator>
  <cp:lastModifiedBy>Davide Passaro</cp:lastModifiedBy>
  <dcterms:created xsi:type="dcterms:W3CDTF">2016-11-13T21:32:22Z</dcterms:created>
  <dcterms:modified xsi:type="dcterms:W3CDTF">2016-11-13T23:19:23Z</dcterms:modified>
</cp:coreProperties>
</file>