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ssa\Documents\Scuola\Corsi\Fisica\Laboratorio\LaboratorioOtticaElettronicaFModerna\Git\Reticolo-prisma\Prisma\Data Analysis\"/>
    </mc:Choice>
  </mc:AlternateContent>
  <bookViews>
    <workbookView xWindow="0" yWindow="0" windowWidth="21570" windowHeight="7965" activeTab="2"/>
  </bookViews>
  <sheets>
    <sheet name="Calcolo alpha" sheetId="1" r:id="rId1"/>
    <sheet name="n" sheetId="2" r:id="rId2"/>
    <sheet name="Retta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E11" i="3" s="1"/>
  <c r="B55" i="2"/>
  <c r="D57" i="2"/>
  <c r="H57" i="2" s="1"/>
  <c r="D58" i="2"/>
  <c r="H58" i="2"/>
  <c r="F58" i="2" s="1"/>
  <c r="D59" i="2"/>
  <c r="H59" i="2" s="1"/>
  <c r="D60" i="2"/>
  <c r="H60" i="2"/>
  <c r="G60" i="2" s="1"/>
  <c r="D61" i="2"/>
  <c r="H61" i="2" s="1"/>
  <c r="D62" i="2"/>
  <c r="H62" i="2"/>
  <c r="F62" i="2" s="1"/>
  <c r="D25" i="2"/>
  <c r="H25" i="2" s="1"/>
  <c r="F25" i="2" s="1"/>
  <c r="D24" i="2"/>
  <c r="H24" i="2" s="1"/>
  <c r="F24" i="2" s="1"/>
  <c r="D26" i="2"/>
  <c r="H26" i="2" s="1"/>
  <c r="F26" i="2" s="1"/>
  <c r="D27" i="2"/>
  <c r="H27" i="2" s="1"/>
  <c r="F27" i="2" s="1"/>
  <c r="D28" i="2"/>
  <c r="H28" i="2" s="1"/>
  <c r="F28" i="2" s="1"/>
  <c r="D29" i="2"/>
  <c r="H29" i="2" s="1"/>
  <c r="F29" i="2" s="1"/>
  <c r="D106" i="2"/>
  <c r="H106" i="2" s="1"/>
  <c r="D105" i="2"/>
  <c r="H105" i="2" s="1"/>
  <c r="D104" i="2"/>
  <c r="H104" i="2" s="1"/>
  <c r="D103" i="2"/>
  <c r="H103" i="2" s="1"/>
  <c r="D102" i="2"/>
  <c r="H102" i="2" s="1"/>
  <c r="D101" i="2"/>
  <c r="H101" i="2" s="1"/>
  <c r="H95" i="2"/>
  <c r="G95" i="2" s="1"/>
  <c r="D95" i="2"/>
  <c r="D94" i="2"/>
  <c r="H94" i="2" s="1"/>
  <c r="D93" i="2"/>
  <c r="H93" i="2" s="1"/>
  <c r="G93" i="2" s="1"/>
  <c r="D92" i="2"/>
  <c r="H92" i="2" s="1"/>
  <c r="D91" i="2"/>
  <c r="H91" i="2" s="1"/>
  <c r="G91" i="2" s="1"/>
  <c r="H90" i="2"/>
  <c r="D90" i="2"/>
  <c r="D84" i="2"/>
  <c r="H84" i="2" s="1"/>
  <c r="D83" i="2"/>
  <c r="H83" i="2" s="1"/>
  <c r="F83" i="2" s="1"/>
  <c r="D82" i="2"/>
  <c r="H82" i="2" s="1"/>
  <c r="D81" i="2"/>
  <c r="H81" i="2" s="1"/>
  <c r="F81" i="2" s="1"/>
  <c r="D80" i="2"/>
  <c r="H80" i="2" s="1"/>
  <c r="D79" i="2"/>
  <c r="H79" i="2" s="1"/>
  <c r="D73" i="2"/>
  <c r="H73" i="2" s="1"/>
  <c r="H72" i="2"/>
  <c r="F72" i="2" s="1"/>
  <c r="G72" i="2"/>
  <c r="D72" i="2"/>
  <c r="D71" i="2"/>
  <c r="H71" i="2" s="1"/>
  <c r="D70" i="2"/>
  <c r="H70" i="2" s="1"/>
  <c r="D69" i="2"/>
  <c r="H69" i="2" s="1"/>
  <c r="D68" i="2"/>
  <c r="H68" i="2" s="1"/>
  <c r="D51" i="2"/>
  <c r="H51" i="2" s="1"/>
  <c r="D50" i="2"/>
  <c r="H50" i="2" s="1"/>
  <c r="D49" i="2"/>
  <c r="H49" i="2" s="1"/>
  <c r="D48" i="2"/>
  <c r="H48" i="2" s="1"/>
  <c r="D47" i="2"/>
  <c r="H47" i="2" s="1"/>
  <c r="D46" i="2"/>
  <c r="H46" i="2" s="1"/>
  <c r="D40" i="2"/>
  <c r="H40" i="2" s="1"/>
  <c r="D39" i="2"/>
  <c r="H39" i="2" s="1"/>
  <c r="D38" i="2"/>
  <c r="H38" i="2" s="1"/>
  <c r="D37" i="2"/>
  <c r="H37" i="2" s="1"/>
  <c r="D36" i="2"/>
  <c r="H36" i="2" s="1"/>
  <c r="D35" i="2"/>
  <c r="H35" i="2" s="1"/>
  <c r="D14" i="2"/>
  <c r="D15" i="2"/>
  <c r="D16" i="2"/>
  <c r="D17" i="2"/>
  <c r="D18" i="2"/>
  <c r="E4" i="2"/>
  <c r="F4" i="2"/>
  <c r="G4" i="2"/>
  <c r="F3" i="2"/>
  <c r="G3" i="2"/>
  <c r="E3" i="2"/>
  <c r="G45" i="1"/>
  <c r="G37" i="1"/>
  <c r="G29" i="1"/>
  <c r="G21" i="1"/>
  <c r="G13" i="1"/>
  <c r="G5" i="1"/>
  <c r="M20" i="1"/>
  <c r="L20" i="1"/>
  <c r="M19" i="1"/>
  <c r="L19" i="1"/>
  <c r="K20" i="1"/>
  <c r="K19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O8" i="1"/>
  <c r="P8" i="1"/>
  <c r="Q8" i="1"/>
  <c r="O9" i="1"/>
  <c r="P9" i="1"/>
  <c r="Q9" i="1"/>
  <c r="O10" i="1"/>
  <c r="P10" i="1"/>
  <c r="Q10" i="1"/>
  <c r="Q6" i="1"/>
  <c r="P6" i="1"/>
  <c r="O6" i="1"/>
  <c r="Q7" i="1"/>
  <c r="P7" i="1"/>
  <c r="O7" i="1"/>
  <c r="J13" i="1"/>
  <c r="J12" i="1"/>
  <c r="J11" i="1"/>
  <c r="K13" i="1"/>
  <c r="K12" i="1"/>
  <c r="K11" i="1"/>
  <c r="B47" i="1"/>
  <c r="B39" i="1"/>
  <c r="B40" i="1" s="1"/>
  <c r="F37" i="1" s="1"/>
  <c r="H37" i="1" s="1"/>
  <c r="B31" i="1"/>
  <c r="B23" i="1"/>
  <c r="B15" i="1"/>
  <c r="B7" i="1"/>
  <c r="F44" i="1"/>
  <c r="G44" i="1" s="1"/>
  <c r="F36" i="1"/>
  <c r="H36" i="1" s="1"/>
  <c r="F28" i="1"/>
  <c r="H28" i="1" s="1"/>
  <c r="F20" i="1"/>
  <c r="H20" i="1" s="1"/>
  <c r="D20" i="1"/>
  <c r="D21" i="1"/>
  <c r="D28" i="1"/>
  <c r="D29" i="1"/>
  <c r="D36" i="1"/>
  <c r="D37" i="1"/>
  <c r="D44" i="1"/>
  <c r="D45" i="1"/>
  <c r="F12" i="1"/>
  <c r="F4" i="1"/>
  <c r="G4" i="1" s="1"/>
  <c r="B48" i="1"/>
  <c r="F45" i="1" s="1"/>
  <c r="H45" i="1" s="1"/>
  <c r="B32" i="1"/>
  <c r="F29" i="1" s="1"/>
  <c r="D13" i="1"/>
  <c r="D12" i="1"/>
  <c r="G61" i="2" l="1"/>
  <c r="F61" i="2"/>
  <c r="F59" i="2"/>
  <c r="G59" i="2"/>
  <c r="F57" i="2"/>
  <c r="G57" i="2"/>
  <c r="H63" i="2"/>
  <c r="I63" i="2"/>
  <c r="F60" i="2"/>
  <c r="G62" i="2"/>
  <c r="G58" i="2"/>
  <c r="F103" i="2"/>
  <c r="G103" i="2"/>
  <c r="F105" i="2"/>
  <c r="G105" i="2"/>
  <c r="I96" i="2"/>
  <c r="G90" i="2"/>
  <c r="F70" i="2"/>
  <c r="G70" i="2"/>
  <c r="G50" i="2"/>
  <c r="F50" i="2"/>
  <c r="G48" i="2"/>
  <c r="F48" i="2"/>
  <c r="F104" i="2"/>
  <c r="G104" i="2"/>
  <c r="I107" i="2"/>
  <c r="H107" i="2"/>
  <c r="G101" i="2"/>
  <c r="F101" i="2"/>
  <c r="F102" i="2"/>
  <c r="G102" i="2"/>
  <c r="G106" i="2"/>
  <c r="F106" i="2"/>
  <c r="F92" i="2"/>
  <c r="G92" i="2"/>
  <c r="F94" i="2"/>
  <c r="G94" i="2"/>
  <c r="H96" i="2"/>
  <c r="F91" i="2"/>
  <c r="F93" i="2"/>
  <c r="F95" i="2"/>
  <c r="F90" i="2"/>
  <c r="I85" i="2"/>
  <c r="G80" i="2"/>
  <c r="F80" i="2"/>
  <c r="G84" i="2"/>
  <c r="F84" i="2"/>
  <c r="G82" i="2"/>
  <c r="F82" i="2"/>
  <c r="G81" i="2"/>
  <c r="G83" i="2"/>
  <c r="F79" i="2"/>
  <c r="G79" i="2"/>
  <c r="H85" i="2"/>
  <c r="G71" i="2"/>
  <c r="F71" i="2"/>
  <c r="I74" i="2"/>
  <c r="H74" i="2"/>
  <c r="G68" i="2"/>
  <c r="F68" i="2"/>
  <c r="G69" i="2"/>
  <c r="F69" i="2"/>
  <c r="G73" i="2"/>
  <c r="F73" i="2"/>
  <c r="G49" i="2"/>
  <c r="F49" i="2"/>
  <c r="I52" i="2"/>
  <c r="H52" i="2"/>
  <c r="G46" i="2"/>
  <c r="F46" i="2"/>
  <c r="G47" i="2"/>
  <c r="F47" i="2"/>
  <c r="G51" i="2"/>
  <c r="F51" i="2"/>
  <c r="H41" i="2"/>
  <c r="G36" i="2"/>
  <c r="F36" i="2"/>
  <c r="I41" i="2"/>
  <c r="F37" i="2"/>
  <c r="G37" i="2"/>
  <c r="G38" i="2"/>
  <c r="F38" i="2"/>
  <c r="F39" i="2"/>
  <c r="G39" i="2"/>
  <c r="G40" i="2"/>
  <c r="F40" i="2"/>
  <c r="F35" i="2"/>
  <c r="G35" i="2"/>
  <c r="G29" i="2"/>
  <c r="I30" i="2"/>
  <c r="H30" i="2"/>
  <c r="M24" i="2" s="1"/>
  <c r="G24" i="2"/>
  <c r="G25" i="2"/>
  <c r="G27" i="2"/>
  <c r="G26" i="2"/>
  <c r="G28" i="2"/>
  <c r="H29" i="1"/>
  <c r="H44" i="1"/>
  <c r="G36" i="1"/>
  <c r="G28" i="1"/>
  <c r="G20" i="1"/>
  <c r="H12" i="1"/>
  <c r="N57" i="2" l="1"/>
  <c r="O57" i="2" s="1"/>
  <c r="M57" i="2"/>
  <c r="M101" i="2"/>
  <c r="N101" i="2"/>
  <c r="O101" i="2" s="1"/>
  <c r="M90" i="2"/>
  <c r="N90" i="2"/>
  <c r="O90" i="2" s="1"/>
  <c r="M79" i="2"/>
  <c r="C11" i="3" s="1"/>
  <c r="N79" i="2"/>
  <c r="O79" i="2" s="1"/>
  <c r="D11" i="3" s="1"/>
  <c r="M68" i="2"/>
  <c r="N68" i="2"/>
  <c r="O68" i="2" s="1"/>
  <c r="M46" i="2"/>
  <c r="N46" i="2"/>
  <c r="O46" i="2" s="1"/>
  <c r="M35" i="2"/>
  <c r="N35" i="2"/>
  <c r="O35" i="2" s="1"/>
  <c r="N24" i="2"/>
  <c r="O24" i="2" s="1"/>
  <c r="G12" i="1"/>
  <c r="F11" i="3" l="1"/>
  <c r="G11" i="3"/>
  <c r="K11" i="3" l="1"/>
  <c r="I11" i="3"/>
  <c r="J11" i="3"/>
  <c r="H11" i="3"/>
  <c r="E8" i="3" l="1"/>
  <c r="E13" i="3"/>
  <c r="E6" i="3"/>
  <c r="B13" i="3"/>
  <c r="B12" i="3"/>
  <c r="E12" i="3" s="1"/>
  <c r="B10" i="3"/>
  <c r="E10" i="3" s="1"/>
  <c r="B9" i="3"/>
  <c r="E9" i="3" s="1"/>
  <c r="B8" i="3"/>
  <c r="B7" i="3"/>
  <c r="E7" i="3" s="1"/>
  <c r="B6" i="3"/>
  <c r="B99" i="2"/>
  <c r="B88" i="2"/>
  <c r="B77" i="2"/>
  <c r="B66" i="2"/>
  <c r="B44" i="2"/>
  <c r="B22" i="2"/>
  <c r="B33" i="2"/>
  <c r="D7" i="2"/>
  <c r="B4" i="2"/>
  <c r="D13" i="2"/>
  <c r="B11" i="2"/>
  <c r="H13" i="2" l="1"/>
  <c r="H14" i="2"/>
  <c r="H15" i="2"/>
  <c r="H16" i="2"/>
  <c r="H18" i="2"/>
  <c r="H17" i="2"/>
  <c r="N7" i="1"/>
  <c r="M7" i="1"/>
  <c r="J10" i="1"/>
  <c r="K10" i="1"/>
  <c r="K9" i="1"/>
  <c r="B24" i="1"/>
  <c r="F21" i="1" s="1"/>
  <c r="N6" i="1" s="1"/>
  <c r="B16" i="1"/>
  <c r="F13" i="1" s="1"/>
  <c r="D5" i="1"/>
  <c r="D4" i="1"/>
  <c r="B8" i="1"/>
  <c r="F5" i="1" s="1"/>
  <c r="C7" i="3" l="1"/>
  <c r="D7" i="3"/>
  <c r="G17" i="2"/>
  <c r="F17" i="2"/>
  <c r="D9" i="3"/>
  <c r="C9" i="3"/>
  <c r="F14" i="2"/>
  <c r="G14" i="2"/>
  <c r="C13" i="3"/>
  <c r="D13" i="3"/>
  <c r="G18" i="2"/>
  <c r="F18" i="2"/>
  <c r="D10" i="3"/>
  <c r="C10" i="3"/>
  <c r="F16" i="2"/>
  <c r="G16" i="2"/>
  <c r="C12" i="3"/>
  <c r="D12" i="3"/>
  <c r="G12" i="3" s="1"/>
  <c r="F15" i="2"/>
  <c r="G15" i="2"/>
  <c r="D8" i="3"/>
  <c r="C8" i="3"/>
  <c r="F13" i="2"/>
  <c r="H19" i="2"/>
  <c r="M13" i="2" s="1"/>
  <c r="C6" i="3" s="1"/>
  <c r="F6" i="3" s="1"/>
  <c r="G13" i="2"/>
  <c r="I19" i="2"/>
  <c r="H21" i="1"/>
  <c r="H13" i="1"/>
  <c r="M6" i="1"/>
  <c r="J9" i="1"/>
  <c r="N9" i="1" s="1"/>
  <c r="H5" i="1"/>
  <c r="L6" i="1"/>
  <c r="J8" i="1"/>
  <c r="M9" i="1"/>
  <c r="M10" i="1"/>
  <c r="N10" i="1"/>
  <c r="N13" i="2" l="1"/>
  <c r="O13" i="2" s="1"/>
  <c r="D6" i="3" s="1"/>
  <c r="G6" i="3" s="1"/>
  <c r="K6" i="3" s="1"/>
  <c r="F12" i="3"/>
  <c r="K12" i="3" s="1"/>
  <c r="G8" i="3"/>
  <c r="F8" i="3"/>
  <c r="G10" i="3"/>
  <c r="F10" i="3"/>
  <c r="G13" i="3"/>
  <c r="F13" i="3"/>
  <c r="G7" i="3"/>
  <c r="F7" i="3"/>
  <c r="F9" i="3"/>
  <c r="G9" i="3"/>
  <c r="H12" i="3"/>
  <c r="I12" i="3"/>
  <c r="K8" i="1"/>
  <c r="L7" i="1"/>
  <c r="H4" i="1"/>
  <c r="C22" i="3" l="1"/>
  <c r="J12" i="3"/>
  <c r="J6" i="3"/>
  <c r="H6" i="3"/>
  <c r="I6" i="3"/>
  <c r="H13" i="3"/>
  <c r="I13" i="3"/>
  <c r="J13" i="3"/>
  <c r="K13" i="3"/>
  <c r="H10" i="3"/>
  <c r="J10" i="3"/>
  <c r="K10" i="3"/>
  <c r="I10" i="3"/>
  <c r="H9" i="3"/>
  <c r="J9" i="3"/>
  <c r="K9" i="3"/>
  <c r="I9" i="3"/>
  <c r="H8" i="3"/>
  <c r="I8" i="3"/>
  <c r="J8" i="3"/>
  <c r="K8" i="3"/>
  <c r="H7" i="3"/>
  <c r="J7" i="3"/>
  <c r="K7" i="3"/>
  <c r="I7" i="3"/>
  <c r="G14" i="3"/>
  <c r="L9" i="1"/>
  <c r="L10" i="1"/>
  <c r="L8" i="1"/>
  <c r="M8" i="1"/>
  <c r="N8" i="1"/>
  <c r="K14" i="3" l="1"/>
  <c r="J14" i="3"/>
  <c r="I14" i="3"/>
  <c r="H14" i="3"/>
  <c r="M11" i="3" s="1"/>
  <c r="L11" i="3" l="1"/>
  <c r="M7" i="3"/>
  <c r="M6" i="3"/>
  <c r="M12" i="3"/>
  <c r="M9" i="3"/>
  <c r="M13" i="3"/>
  <c r="M8" i="3"/>
  <c r="M10" i="3"/>
  <c r="L9" i="3"/>
  <c r="L10" i="3"/>
  <c r="L6" i="3"/>
  <c r="L8" i="3"/>
  <c r="L12" i="3"/>
  <c r="C17" i="3"/>
  <c r="L7" i="3"/>
  <c r="L13" i="3"/>
  <c r="M14" i="3" l="1"/>
  <c r="D20" i="3" s="1"/>
  <c r="L14" i="3"/>
  <c r="D19" i="3" s="1"/>
  <c r="C19" i="3"/>
  <c r="C20" i="3"/>
  <c r="B34" i="3" l="1"/>
  <c r="B33" i="3"/>
  <c r="B26" i="3"/>
  <c r="B27" i="3"/>
  <c r="B28" i="3"/>
  <c r="B29" i="3"/>
  <c r="B30" i="3"/>
  <c r="B32" i="3"/>
  <c r="B31" i="3"/>
</calcChain>
</file>

<file path=xl/sharedStrings.xml><?xml version="1.0" encoding="utf-8"?>
<sst xmlns="http://schemas.openxmlformats.org/spreadsheetml/2006/main" count="233" uniqueCount="58">
  <si>
    <t>Calcolo di alpha</t>
  </si>
  <si>
    <t>Gradi</t>
  </si>
  <si>
    <t>Primi</t>
  </si>
  <si>
    <t>Rad</t>
  </si>
  <si>
    <t>theta 1</t>
  </si>
  <si>
    <t>theta 2</t>
  </si>
  <si>
    <t>Errore</t>
  </si>
  <si>
    <t>Errore Rad</t>
  </si>
  <si>
    <t>Errore primi</t>
  </si>
  <si>
    <t>Alpha</t>
  </si>
  <si>
    <t>Alpha1</t>
  </si>
  <si>
    <t>errori</t>
  </si>
  <si>
    <t>alpha</t>
  </si>
  <si>
    <t>Calcolo Delta m</t>
  </si>
  <si>
    <t>Viola interno</t>
  </si>
  <si>
    <t>Lambda</t>
  </si>
  <si>
    <t>Errore rad</t>
  </si>
  <si>
    <t>delta(lambda)</t>
  </si>
  <si>
    <t>theta zero</t>
  </si>
  <si>
    <t>Viola esterno</t>
  </si>
  <si>
    <t>Blu</t>
  </si>
  <si>
    <t>Verde interno</t>
  </si>
  <si>
    <t>Verde esterno</t>
  </si>
  <si>
    <t>Verde giallo</t>
  </si>
  <si>
    <t>Giallo interno</t>
  </si>
  <si>
    <t>Giallo esterno</t>
  </si>
  <si>
    <t>Rosso</t>
  </si>
  <si>
    <t>Error</t>
  </si>
  <si>
    <t>n(lambda)</t>
  </si>
  <si>
    <t>sigma^2</t>
  </si>
  <si>
    <t>sigma</t>
  </si>
  <si>
    <t>Retta dei minimi quadrati</t>
  </si>
  <si>
    <t>n</t>
  </si>
  <si>
    <t>sigma n</t>
  </si>
  <si>
    <t>1/lambda^2</t>
  </si>
  <si>
    <t>1/n^2</t>
  </si>
  <si>
    <t>p</t>
  </si>
  <si>
    <t>x</t>
  </si>
  <si>
    <t>y</t>
  </si>
  <si>
    <t>px^2</t>
  </si>
  <si>
    <t>px</t>
  </si>
  <si>
    <t>py</t>
  </si>
  <si>
    <t>pxy</t>
  </si>
  <si>
    <t>Sums</t>
  </si>
  <si>
    <t>Delta</t>
  </si>
  <si>
    <t>Value</t>
  </si>
  <si>
    <t>a</t>
  </si>
  <si>
    <t>b</t>
  </si>
  <si>
    <t>Sigma a</t>
  </si>
  <si>
    <t>sigma b</t>
  </si>
  <si>
    <t>r</t>
  </si>
  <si>
    <t>a+b/lambda^2</t>
  </si>
  <si>
    <t>Aloha</t>
  </si>
  <si>
    <t>Grad</t>
  </si>
  <si>
    <t>delta</t>
  </si>
  <si>
    <t>gradi</t>
  </si>
  <si>
    <t>primi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</si>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</sst>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0" xfId="0" applyFill="1"/>
    <xf numFmtId="0" fontId="0" fillId="0" borderId="0" xfId="0"/>
    <xf numFmtId="0" fontId="0" fillId="3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</cellXfs>
  <cellStyles count="2">
    <cellStyle name="60% - Accent5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n(lambda)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Retta!$B$6:$B$13</c:f>
              <c:numCache>
                <c:formatCode>General</c:formatCode>
                <c:ptCount val="8"/>
                <c:pt idx="0">
                  <c:v>4.0465600000000002E-7</c:v>
                </c:pt>
                <c:pt idx="1">
                  <c:v>4.0778300000000005E-7</c:v>
                </c:pt>
                <c:pt idx="2">
                  <c:v>4.3583299999999998E-7</c:v>
                </c:pt>
                <c:pt idx="3">
                  <c:v>4.9160700000000007E-7</c:v>
                </c:pt>
                <c:pt idx="4">
                  <c:v>5.4607399999999997E-7</c:v>
                </c:pt>
                <c:pt idx="5">
                  <c:v>5.7696000000000011E-7</c:v>
                </c:pt>
                <c:pt idx="6">
                  <c:v>5.78966E-7</c:v>
                </c:pt>
                <c:pt idx="7">
                  <c:v>6.2344000000000008E-7</c:v>
                </c:pt>
              </c:numCache>
            </c:numRef>
          </c:xVal>
          <c:yVal>
            <c:numRef>
              <c:f>Retta!$C$6:$C$13</c:f>
              <c:numCache>
                <c:formatCode>General</c:formatCode>
                <c:ptCount val="8"/>
                <c:pt idx="0">
                  <c:v>1.8433563805323061</c:v>
                </c:pt>
                <c:pt idx="1">
                  <c:v>1.841280591554028</c:v>
                </c:pt>
                <c:pt idx="2">
                  <c:v>1.8263380485735974</c:v>
                </c:pt>
                <c:pt idx="3">
                  <c:v>1.8059794332799115</c:v>
                </c:pt>
                <c:pt idx="4">
                  <c:v>1.7930374772723283</c:v>
                </c:pt>
                <c:pt idx="5">
                  <c:v>1.7874411048540997</c:v>
                </c:pt>
                <c:pt idx="6">
                  <c:v>1.7869606567205927</c:v>
                </c:pt>
                <c:pt idx="7">
                  <c:v>1.7729534863108829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D0-4F9F-A951-9A24BD412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36680"/>
        <c:axId val="404439960"/>
      </c:scatterChart>
      <c:valAx>
        <c:axId val="404436680"/>
        <c:scaling>
          <c:orientation val="minMax"/>
          <c:min val="3.8000000000000017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4439960"/>
        <c:crosses val="autoZero"/>
        <c:crossBetween val="midCat"/>
      </c:valAx>
      <c:valAx>
        <c:axId val="40443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443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1/n^2 misurato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Retta!$E$6:$E$13</c:f>
              <c:numCache>
                <c:formatCode>General</c:formatCode>
                <c:ptCount val="8"/>
                <c:pt idx="0">
                  <c:v>6107001568290.5088</c:v>
                </c:pt>
                <c:pt idx="1">
                  <c:v>6013700107689.0146</c:v>
                </c:pt>
                <c:pt idx="2">
                  <c:v>5264532106940.7314</c:v>
                </c:pt>
                <c:pt idx="3">
                  <c:v>4137746534664.793</c:v>
                </c:pt>
                <c:pt idx="4">
                  <c:v>3353489892609.0767</c:v>
                </c:pt>
                <c:pt idx="5">
                  <c:v>3004059912471.0176</c:v>
                </c:pt>
                <c:pt idx="6">
                  <c:v>2983279056602.104</c:v>
                </c:pt>
                <c:pt idx="7">
                  <c:v>2572827526254.4072</c:v>
                </c:pt>
              </c:numCache>
            </c:numRef>
          </c:xVal>
          <c:yVal>
            <c:numRef>
              <c:f>Retta!$F$6:$F$13</c:f>
              <c:numCache>
                <c:formatCode>General</c:formatCode>
                <c:ptCount val="8"/>
                <c:pt idx="0">
                  <c:v>0.29429398579499583</c:v>
                </c:pt>
                <c:pt idx="1">
                  <c:v>3893434.4399053673</c:v>
                </c:pt>
                <c:pt idx="2">
                  <c:v>4062115.8477125377</c:v>
                </c:pt>
                <c:pt idx="3">
                  <c:v>4099458.1614038642</c:v>
                </c:pt>
                <c:pt idx="4">
                  <c:v>4172973.6199129056</c:v>
                </c:pt>
                <c:pt idx="5">
                  <c:v>4177433.4646090115</c:v>
                </c:pt>
                <c:pt idx="6">
                  <c:v>4355880.824123607</c:v>
                </c:pt>
                <c:pt idx="7">
                  <c:v>3736161.7753090831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AE1-8605-F672A9E0A7EA}"/>
            </c:ext>
          </c:extLst>
        </c:ser>
        <c:ser>
          <c:idx val="1"/>
          <c:order val="1"/>
          <c:tx>
            <c:v>1/n^2 atteso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Retta!$E$6:$E$13</c:f>
              <c:numCache>
                <c:formatCode>General</c:formatCode>
                <c:ptCount val="8"/>
                <c:pt idx="0">
                  <c:v>6107001568290.5088</c:v>
                </c:pt>
                <c:pt idx="1">
                  <c:v>6013700107689.0146</c:v>
                </c:pt>
                <c:pt idx="2">
                  <c:v>5264532106940.7314</c:v>
                </c:pt>
                <c:pt idx="3">
                  <c:v>4137746534664.793</c:v>
                </c:pt>
                <c:pt idx="4">
                  <c:v>3353489892609.0767</c:v>
                </c:pt>
                <c:pt idx="5">
                  <c:v>3004059912471.0176</c:v>
                </c:pt>
                <c:pt idx="6">
                  <c:v>2983279056602.104</c:v>
                </c:pt>
                <c:pt idx="7">
                  <c:v>2572827526254.4072</c:v>
                </c:pt>
              </c:numCache>
            </c:numRef>
          </c:xVal>
          <c:yVal>
            <c:numRef>
              <c:f>Retta!$B$26:$B$34</c:f>
              <c:numCache>
                <c:formatCode>General</c:formatCode>
                <c:ptCount val="9"/>
                <c:pt idx="0">
                  <c:v>2388522.8470357442</c:v>
                </c:pt>
                <c:pt idx="1">
                  <c:v>2443643.7191030872</c:v>
                </c:pt>
                <c:pt idx="2">
                  <c:v>2886239.0789181949</c:v>
                </c:pt>
                <c:pt idx="3">
                  <c:v>3551924.2994532683</c:v>
                </c:pt>
                <c:pt idx="4">
                  <c:v>0</c:v>
                </c:pt>
                <c:pt idx="5">
                  <c:v>4015249.4152234816</c:v>
                </c:pt>
                <c:pt idx="6">
                  <c:v>4221686.5396534046</c:v>
                </c:pt>
                <c:pt idx="7">
                  <c:v>4233963.5060633169</c:v>
                </c:pt>
                <c:pt idx="8">
                  <c:v>4476451.0957353944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C-4AE1-8605-F672A9E0A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84408"/>
        <c:axId val="412381456"/>
      </c:scatterChart>
      <c:valAx>
        <c:axId val="41238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2381456"/>
        <c:crosses val="autoZero"/>
        <c:crossBetween val="midCat"/>
      </c:valAx>
      <c:valAx>
        <c:axId val="4123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238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571499</xdr:colOff>
      <xdr:row>1</xdr:row>
      <xdr:rowOff>190499</xdr:rowOff>
    </xdr:from>
    <xdr:to>
      <xdr:col>25</xdr:col>
      <xdr:colOff>600074</xdr:colOff>
      <xdr:row>27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0F5AC-EE76-46C6-9784-E40B70206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358589</xdr:colOff>
      <xdr:row>29</xdr:row>
      <xdr:rowOff>39372</xdr:rowOff>
    </xdr:from>
    <xdr:to>
      <xdr:col>14</xdr:col>
      <xdr:colOff>561314</xdr:colOff>
      <xdr:row>52</xdr:row>
      <xdr:rowOff>134622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90364-CADC-40C3-ACEE-E707626FC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G1" zoomScale="115" zoomScaleNormal="115" workbookViewId="0">
      <selection activeCell="K12" sqref="K12"/>
    </sheetView>
  </sheetViews>
  <sheetFormatPr defaultRowHeight="15" x14ac:dyDescent="0.25"/>
  <cols>
    <col min="1" max="1" width="15" bestFit="1" customWidth="1"/>
    <col min="3" max="3" width="13.140625" bestFit="1" customWidth="1"/>
  </cols>
  <sheetData>
    <row r="1" spans="1:17" x14ac:dyDescent="0.25">
      <c r="A1" t="s">
        <v>0</v>
      </c>
    </row>
    <row r="3" spans="1:17" x14ac:dyDescent="0.25">
      <c r="B3" t="s">
        <v>1</v>
      </c>
      <c r="C3" t="s">
        <v>2</v>
      </c>
      <c r="D3" t="s">
        <v>3</v>
      </c>
      <c r="F3" t="s">
        <v>3</v>
      </c>
      <c r="G3" t="s">
        <v>1</v>
      </c>
      <c r="H3" t="s">
        <v>2</v>
      </c>
    </row>
    <row r="4" spans="1:17" x14ac:dyDescent="0.25">
      <c r="A4" t="s">
        <v>4</v>
      </c>
      <c r="B4">
        <v>354</v>
      </c>
      <c r="C4">
        <v>26</v>
      </c>
      <c r="D4">
        <f>(PI()*(B4+C4/60))/180</f>
        <v>6.1860286454852362</v>
      </c>
      <c r="E4" t="s">
        <v>10</v>
      </c>
      <c r="F4">
        <f>PI()-ABS(PI()-(ABS(D5-D4)))</f>
        <v>1.0466157747792657</v>
      </c>
      <c r="G4">
        <f>INT(DEGREES(F4))</f>
        <v>59</v>
      </c>
      <c r="H4">
        <f>60*(DEGREES(F4)-INT(DEGREES(F4)))</f>
        <v>57.999999999997982</v>
      </c>
    </row>
    <row r="5" spans="1:17" x14ac:dyDescent="0.25">
      <c r="A5" t="s">
        <v>5</v>
      </c>
      <c r="B5">
        <v>54</v>
      </c>
      <c r="C5">
        <v>24</v>
      </c>
      <c r="D5">
        <f>(PI()*(B5+C5/60))/180</f>
        <v>0.94945911308491526</v>
      </c>
      <c r="E5" t="s">
        <v>6</v>
      </c>
      <c r="F5">
        <f>B8*SQRT(2)</f>
        <v>4.1137804982947838E-4</v>
      </c>
      <c r="G5">
        <f>INT(DEGREES(F5))</f>
        <v>0</v>
      </c>
      <c r="H5">
        <f>60*(DEGREES(F5)-INT(DEGREES(F5)))</f>
        <v>1.4142135623730951</v>
      </c>
    </row>
    <row r="6" spans="1:17" x14ac:dyDescent="0.25">
      <c r="J6" t="s">
        <v>11</v>
      </c>
      <c r="L6">
        <f>F5</f>
        <v>4.1137804982947838E-4</v>
      </c>
      <c r="M6">
        <f>F13</f>
        <v>4.1137804982947838E-4</v>
      </c>
      <c r="N6">
        <f>F21</f>
        <v>4.1137804982947838E-4</v>
      </c>
      <c r="O6">
        <f>N6</f>
        <v>4.1137804982947838E-4</v>
      </c>
      <c r="P6">
        <f>O6</f>
        <v>4.1137804982947838E-4</v>
      </c>
      <c r="Q6">
        <f>P6</f>
        <v>4.1137804982947838E-4</v>
      </c>
    </row>
    <row r="7" spans="1:17" x14ac:dyDescent="0.25">
      <c r="A7" t="s">
        <v>8</v>
      </c>
      <c r="B7">
        <f>1/60</f>
        <v>1.6666666666666666E-2</v>
      </c>
      <c r="K7" t="s">
        <v>12</v>
      </c>
      <c r="L7">
        <f>F4</f>
        <v>1.0466157747792657</v>
      </c>
      <c r="M7">
        <f>F12</f>
        <v>1.0463248865705994</v>
      </c>
      <c r="N7">
        <f>F20</f>
        <v>1.0458885542576013</v>
      </c>
      <c r="O7">
        <f>K11</f>
        <v>1.0463248865706003</v>
      </c>
      <c r="P7">
        <f>K12</f>
        <v>1.0463248865706003</v>
      </c>
      <c r="Q7">
        <f>K13</f>
        <v>1.0467612188835984</v>
      </c>
    </row>
    <row r="8" spans="1:17" x14ac:dyDescent="0.25">
      <c r="A8" t="s">
        <v>7</v>
      </c>
      <c r="B8">
        <f>B7*PI()/180</f>
        <v>2.9088820866572158E-4</v>
      </c>
      <c r="J8">
        <f>F5</f>
        <v>4.1137804982947838E-4</v>
      </c>
      <c r="K8">
        <f>F4</f>
        <v>1.0466157747792657</v>
      </c>
      <c r="L8">
        <f>($K8-L$7)/(SQRT($J8^2+L$6))</f>
        <v>0</v>
      </c>
      <c r="M8">
        <f>($K8-M$7)/(SQRT($J8^2+M$6))</f>
        <v>1.4338913618557037E-2</v>
      </c>
      <c r="N8">
        <f>($K8-N$7)/(SQRT($J8^2+N$6))</f>
        <v>3.5847284046326922E-2</v>
      </c>
      <c r="O8" s="6">
        <f>($K8-O$7)/(SQRT($J8^2+O$6))</f>
        <v>1.4338913618513256E-2</v>
      </c>
      <c r="P8" s="6">
        <f>($K8-P$7)/(SQRT($J8^2+P$6))</f>
        <v>1.4338913618513256E-2</v>
      </c>
      <c r="Q8" s="6">
        <f>($K8-Q$7)/(SQRT($J8^2+Q$6))</f>
        <v>-7.1694568092566281E-3</v>
      </c>
    </row>
    <row r="9" spans="1:17" x14ac:dyDescent="0.25">
      <c r="J9">
        <f>F13</f>
        <v>4.1137804982947838E-4</v>
      </c>
      <c r="K9">
        <f>F12</f>
        <v>1.0463248865705994</v>
      </c>
      <c r="L9">
        <f>($K9-L$7)/(SQRT($J9^2+L$6))</f>
        <v>-1.4338913618557037E-2</v>
      </c>
      <c r="M9">
        <f>($K9-M$7)/(SQRT($J9^2+M$6))</f>
        <v>0</v>
      </c>
      <c r="N9">
        <f t="shared" ref="L9:N13" si="0">($K9-N$7)/(SQRT($J9^2+N$6))</f>
        <v>2.1508370427769884E-2</v>
      </c>
      <c r="O9" s="6">
        <f>($K9-O$7)/(SQRT($J9^2+O$6))</f>
        <v>-4.3781470883052063E-14</v>
      </c>
      <c r="P9" s="6">
        <f>($K9-P$7)/(SQRT($J9^2+P$6))</f>
        <v>-4.3781470883052063E-14</v>
      </c>
      <c r="Q9" s="6">
        <f t="shared" ref="O9:Q13" si="1">($K9-Q$7)/(SQRT($J9^2+Q$6))</f>
        <v>-2.1508370427813665E-2</v>
      </c>
    </row>
    <row r="10" spans="1:17" x14ac:dyDescent="0.25">
      <c r="J10">
        <f>F21</f>
        <v>4.1137804982947838E-4</v>
      </c>
      <c r="K10">
        <f>F20</f>
        <v>1.0458885542576013</v>
      </c>
      <c r="L10">
        <f t="shared" si="0"/>
        <v>-3.5847284046326922E-2</v>
      </c>
      <c r="M10">
        <f>($K10-M$7)/(SQRT($J10^2+M$6))</f>
        <v>-2.1508370427769884E-2</v>
      </c>
      <c r="N10">
        <f>($K10-N$7)/(SQRT($J10^2+N$6))</f>
        <v>0</v>
      </c>
      <c r="O10" s="6">
        <f t="shared" si="1"/>
        <v>-2.1508370427813665E-2</v>
      </c>
      <c r="P10" s="6">
        <f>($K10-P$7)/(SQRT($J10^2+P$6))</f>
        <v>-2.1508370427813665E-2</v>
      </c>
      <c r="Q10" s="6">
        <f>($K10-Q$7)/(SQRT($J10^2+Q$6))</f>
        <v>-4.3016740855583546E-2</v>
      </c>
    </row>
    <row r="11" spans="1:17" x14ac:dyDescent="0.25">
      <c r="A11" s="6"/>
      <c r="B11" s="6" t="s">
        <v>1</v>
      </c>
      <c r="C11" s="6" t="s">
        <v>2</v>
      </c>
      <c r="D11" s="6" t="s">
        <v>3</v>
      </c>
      <c r="E11" s="6"/>
      <c r="F11" s="6" t="s">
        <v>3</v>
      </c>
      <c r="G11" s="6" t="s">
        <v>1</v>
      </c>
      <c r="H11" s="6" t="s">
        <v>2</v>
      </c>
      <c r="J11">
        <f>J10</f>
        <v>4.1137804982947838E-4</v>
      </c>
      <c r="K11">
        <f>F28</f>
        <v>1.0463248865706003</v>
      </c>
      <c r="L11" s="6">
        <f>($K11-L$7)/(SQRT($J11^2+L$6))</f>
        <v>-1.4338913618513256E-2</v>
      </c>
      <c r="M11" s="6">
        <f>($K11-M$7)/(SQRT($J11^2+M$6))</f>
        <v>4.3781470883052063E-14</v>
      </c>
      <c r="N11" s="6">
        <f>($K11-N$7)/(SQRT($J11^2+N$6))</f>
        <v>2.1508370427813665E-2</v>
      </c>
      <c r="O11" s="6">
        <f>($K11-O$7)/(SQRT($J11^2+O$6))</f>
        <v>0</v>
      </c>
      <c r="P11" s="6">
        <f>($K11-P$7)/(SQRT($J11^2+P$6))</f>
        <v>0</v>
      </c>
      <c r="Q11" s="6">
        <f>($K11-Q$7)/(SQRT($J11^2+Q$6))</f>
        <v>-2.1508370427769884E-2</v>
      </c>
    </row>
    <row r="12" spans="1:17" x14ac:dyDescent="0.25">
      <c r="A12" s="6" t="s">
        <v>4</v>
      </c>
      <c r="B12" s="6">
        <v>35</v>
      </c>
      <c r="C12" s="6">
        <v>46</v>
      </c>
      <c r="D12" s="6">
        <f>(PI()*(B12+C12/60))/180</f>
        <v>0.62424609579663848</v>
      </c>
      <c r="E12" s="6" t="s">
        <v>10</v>
      </c>
      <c r="F12" s="6">
        <f>ABS(PI()-(ABS(D13-D12)))</f>
        <v>1.0463248865705994</v>
      </c>
      <c r="G12" s="6">
        <f>INT(DEGREES(F12))</f>
        <v>59</v>
      </c>
      <c r="H12" s="6">
        <f>60*(DEGREES(F12)-INT(DEGREES(F12)))</f>
        <v>56.999999999995907</v>
      </c>
      <c r="J12">
        <f>J11</f>
        <v>4.1137804982947838E-4</v>
      </c>
      <c r="K12" s="6">
        <f>F36</f>
        <v>1.0463248865706003</v>
      </c>
      <c r="L12" s="6">
        <f>($K12-L$7)/(SQRT($J12^2+L$6))</f>
        <v>-1.4338913618513256E-2</v>
      </c>
      <c r="M12" s="6">
        <f>($K12-M$7)/(SQRT($J12^2+M$6))</f>
        <v>4.3781470883052063E-14</v>
      </c>
      <c r="N12" s="6">
        <f t="shared" si="0"/>
        <v>2.1508370427813665E-2</v>
      </c>
      <c r="O12" s="6">
        <f>($K12-O$7)/(SQRT($J12^2+O$6))</f>
        <v>0</v>
      </c>
      <c r="P12" s="6">
        <f>($K12-P$7)/(SQRT($J12^2+P$6))</f>
        <v>0</v>
      </c>
      <c r="Q12" s="6">
        <f t="shared" si="1"/>
        <v>-2.1508370427769884E-2</v>
      </c>
    </row>
    <row r="13" spans="1:17" x14ac:dyDescent="0.25">
      <c r="A13" s="6" t="s">
        <v>5</v>
      </c>
      <c r="B13" s="6">
        <v>275</v>
      </c>
      <c r="C13" s="6">
        <v>43</v>
      </c>
      <c r="D13" s="6">
        <f>(PI()*(B13+C13/60))/180</f>
        <v>4.812163635957031</v>
      </c>
      <c r="E13" s="6" t="s">
        <v>6</v>
      </c>
      <c r="F13" s="6">
        <f>B16*SQRT(2)</f>
        <v>4.1137804982947838E-4</v>
      </c>
      <c r="G13" s="6">
        <f>INT(DEGREES(F13))</f>
        <v>0</v>
      </c>
      <c r="H13" s="6">
        <f>60*(DEGREES(F13)-INT(DEGREES(F13)))</f>
        <v>1.4142135623730951</v>
      </c>
      <c r="J13">
        <f>J12</f>
        <v>4.1137804982947838E-4</v>
      </c>
      <c r="K13" s="6">
        <f>F44</f>
        <v>1.0467612188835984</v>
      </c>
      <c r="L13" s="6">
        <f t="shared" si="0"/>
        <v>7.1694568092566281E-3</v>
      </c>
      <c r="M13" s="6">
        <f>($K13-M$7)/(SQRT($J13^2+M$6))</f>
        <v>2.1508370427813665E-2</v>
      </c>
      <c r="N13" s="6">
        <f>($K13-N$7)/(SQRT($J13^2+N$6))</f>
        <v>4.3016740855583546E-2</v>
      </c>
      <c r="O13" s="6">
        <f t="shared" si="1"/>
        <v>2.1508370427769884E-2</v>
      </c>
      <c r="P13" s="6">
        <f>($K13-P$7)/(SQRT($J13^2+P$6))</f>
        <v>2.1508370427769884E-2</v>
      </c>
      <c r="Q13" s="6">
        <f>($K13-Q$7)/(SQRT($J13^2+Q$6))</f>
        <v>0</v>
      </c>
    </row>
    <row r="14" spans="1:17" x14ac:dyDescent="0.25">
      <c r="K14" s="6"/>
    </row>
    <row r="15" spans="1:17" x14ac:dyDescent="0.25">
      <c r="A15" t="s">
        <v>8</v>
      </c>
      <c r="B15" s="6">
        <f>1/60</f>
        <v>1.6666666666666666E-2</v>
      </c>
    </row>
    <row r="16" spans="1:17" x14ac:dyDescent="0.25">
      <c r="A16" t="s">
        <v>7</v>
      </c>
      <c r="B16">
        <f>B15*PI()/180</f>
        <v>2.9088820866572158E-4</v>
      </c>
    </row>
    <row r="18" spans="1:13" x14ac:dyDescent="0.25">
      <c r="K18" t="s">
        <v>3</v>
      </c>
      <c r="L18" t="s">
        <v>53</v>
      </c>
      <c r="M18" t="s">
        <v>2</v>
      </c>
    </row>
    <row r="19" spans="1:13" x14ac:dyDescent="0.25">
      <c r="A19" s="6"/>
      <c r="B19" s="6" t="s">
        <v>1</v>
      </c>
      <c r="C19" s="6" t="s">
        <v>2</v>
      </c>
      <c r="D19" s="6" t="s">
        <v>3</v>
      </c>
      <c r="E19" s="6"/>
      <c r="F19" s="6" t="s">
        <v>3</v>
      </c>
      <c r="G19" s="6" t="s">
        <v>1</v>
      </c>
      <c r="H19" s="6" t="s">
        <v>2</v>
      </c>
      <c r="J19" t="s">
        <v>52</v>
      </c>
      <c r="K19">
        <f>AVERAGE(K8:K13)</f>
        <v>1.0463733679387108</v>
      </c>
      <c r="L19" s="6">
        <f>INT(DEGREES(K19))</f>
        <v>59</v>
      </c>
      <c r="M19" s="6">
        <f>60*(DEGREES(K19)-INT(DEGREES(K19)))</f>
        <v>57.166666666664412</v>
      </c>
    </row>
    <row r="20" spans="1:13" x14ac:dyDescent="0.25">
      <c r="A20" s="6" t="s">
        <v>4</v>
      </c>
      <c r="B20" s="6">
        <v>30</v>
      </c>
      <c r="C20" s="6">
        <v>22</v>
      </c>
      <c r="D20" s="6">
        <f>(PI()*(B20+C20/60))/180</f>
        <v>0.52999831618894477</v>
      </c>
      <c r="E20" s="6" t="s">
        <v>10</v>
      </c>
      <c r="F20" s="6">
        <f>ABS(PI()-(ABS(D21-D20)))</f>
        <v>1.0458885542576013</v>
      </c>
      <c r="G20" s="6">
        <f>INT(DEGREES(F20))</f>
        <v>59</v>
      </c>
      <c r="H20" s="6">
        <f>60*(DEGREES(F20)-INT(DEGREES(F20)))</f>
        <v>55.499999999997698</v>
      </c>
      <c r="J20" t="s">
        <v>6</v>
      </c>
      <c r="K20">
        <f>J13</f>
        <v>4.1137804982947838E-4</v>
      </c>
      <c r="L20" s="6">
        <f>DEGREES(K20)</f>
        <v>2.3570226039551587E-2</v>
      </c>
      <c r="M20" s="6">
        <f>60*(DEGREES(K20)-INT(DEGREES(K20)))</f>
        <v>1.4142135623730951</v>
      </c>
    </row>
    <row r="21" spans="1:13" x14ac:dyDescent="0.25">
      <c r="A21" s="6" t="s">
        <v>5</v>
      </c>
      <c r="B21" s="6">
        <v>270</v>
      </c>
      <c r="C21" s="6">
        <v>17.5</v>
      </c>
      <c r="D21" s="6">
        <f>(PI()*(B21+C21/60))/180</f>
        <v>4.7174795240363396</v>
      </c>
      <c r="E21" s="6" t="s">
        <v>6</v>
      </c>
      <c r="F21" s="6">
        <f>B24*SQRT(2)</f>
        <v>4.1137804982947838E-4</v>
      </c>
      <c r="G21" s="6">
        <f>INT(DEGREES(F21))</f>
        <v>0</v>
      </c>
      <c r="H21" s="6">
        <f>60*(DEGREES(F21)-INT(DEGREES(F21)))</f>
        <v>1.4142135623730951</v>
      </c>
    </row>
    <row r="23" spans="1:13" x14ac:dyDescent="0.25">
      <c r="A23" t="s">
        <v>8</v>
      </c>
      <c r="B23" s="6">
        <f>1/60</f>
        <v>1.6666666666666666E-2</v>
      </c>
    </row>
    <row r="24" spans="1:13" x14ac:dyDescent="0.25">
      <c r="A24" t="s">
        <v>7</v>
      </c>
      <c r="B24">
        <f>B23*PI()/180</f>
        <v>2.9088820866572158E-4</v>
      </c>
    </row>
    <row r="27" spans="1:13" x14ac:dyDescent="0.25">
      <c r="A27" s="6"/>
      <c r="B27" s="6" t="s">
        <v>1</v>
      </c>
      <c r="C27" s="6" t="s">
        <v>2</v>
      </c>
      <c r="D27" s="6" t="s">
        <v>3</v>
      </c>
      <c r="E27" s="6"/>
      <c r="F27" s="6" t="s">
        <v>3</v>
      </c>
      <c r="G27" s="6" t="s">
        <v>1</v>
      </c>
      <c r="H27" s="6" t="s">
        <v>2</v>
      </c>
    </row>
    <row r="28" spans="1:13" x14ac:dyDescent="0.25">
      <c r="A28" s="6" t="s">
        <v>4</v>
      </c>
      <c r="B28" s="6">
        <v>25</v>
      </c>
      <c r="C28" s="6">
        <v>48</v>
      </c>
      <c r="D28" s="6">
        <f>(PI()*(B28+C28/60))/180</f>
        <v>0.45029494701453704</v>
      </c>
      <c r="E28" s="6" t="s">
        <v>10</v>
      </c>
      <c r="F28" s="6">
        <f>ABS(PI()-(ABS(D29-D28)))</f>
        <v>1.0463248865706003</v>
      </c>
      <c r="G28" s="6">
        <f>INT(DEGREES(F28))</f>
        <v>59</v>
      </c>
      <c r="H28" s="6">
        <f>60*(DEGREES(F28)-INT(DEGREES(F28)))</f>
        <v>56.999999999999318</v>
      </c>
    </row>
    <row r="29" spans="1:13" x14ac:dyDescent="0.25">
      <c r="A29" s="6" t="s">
        <v>5</v>
      </c>
      <c r="B29" s="6">
        <v>265</v>
      </c>
      <c r="C29" s="6">
        <v>45</v>
      </c>
      <c r="D29" s="6">
        <f>(PI()*(B29+C29/60))/180</f>
        <v>4.6382124871749308</v>
      </c>
      <c r="E29" s="6" t="s">
        <v>6</v>
      </c>
      <c r="F29" s="6">
        <f>B32*SQRT(2)</f>
        <v>4.1137804982947838E-4</v>
      </c>
      <c r="G29" s="6">
        <f>INT(DEGREES(F29))</f>
        <v>0</v>
      </c>
      <c r="H29" s="6">
        <f>60*(DEGREES(F29)-INT(DEGREES(F29)))</f>
        <v>1.4142135623730951</v>
      </c>
    </row>
    <row r="30" spans="1:13" x14ac:dyDescent="0.25">
      <c r="A30" s="6"/>
      <c r="B30" s="6"/>
      <c r="C30" s="6"/>
      <c r="D30" s="6"/>
      <c r="E30" s="6"/>
      <c r="F30" s="6"/>
      <c r="G30" s="6"/>
      <c r="H30" s="6"/>
    </row>
    <row r="31" spans="1:13" x14ac:dyDescent="0.25">
      <c r="A31" s="6" t="s">
        <v>8</v>
      </c>
      <c r="B31" s="6">
        <f>1/60</f>
        <v>1.6666666666666666E-2</v>
      </c>
      <c r="C31" s="6"/>
      <c r="D31" s="6"/>
      <c r="E31" s="6"/>
      <c r="F31" s="6"/>
      <c r="G31" s="6"/>
      <c r="H31" s="6"/>
    </row>
    <row r="32" spans="1:13" x14ac:dyDescent="0.25">
      <c r="A32" s="6" t="s">
        <v>7</v>
      </c>
      <c r="B32" s="6">
        <f>B31*PI()/180</f>
        <v>2.9088820866572158E-4</v>
      </c>
      <c r="C32" s="6"/>
      <c r="D32" s="6"/>
      <c r="E32" s="6"/>
      <c r="F32" s="6"/>
      <c r="G32" s="6"/>
      <c r="H32" s="6"/>
    </row>
    <row r="35" spans="1:8" x14ac:dyDescent="0.25">
      <c r="A35" s="6"/>
      <c r="B35" s="6" t="s">
        <v>1</v>
      </c>
      <c r="C35" s="6" t="s">
        <v>2</v>
      </c>
      <c r="D35" s="6" t="s">
        <v>3</v>
      </c>
      <c r="E35" s="6"/>
      <c r="F35" s="6" t="s">
        <v>3</v>
      </c>
      <c r="G35" s="6" t="s">
        <v>1</v>
      </c>
      <c r="H35" s="6" t="s">
        <v>2</v>
      </c>
    </row>
    <row r="36" spans="1:8" x14ac:dyDescent="0.25">
      <c r="A36" s="6" t="s">
        <v>4</v>
      </c>
      <c r="B36" s="6">
        <v>25</v>
      </c>
      <c r="C36" s="6">
        <v>41</v>
      </c>
      <c r="D36" s="6">
        <f>(PI()*(B36+C36/60))/180</f>
        <v>0.44825872955387691</v>
      </c>
      <c r="E36" s="6" t="s">
        <v>10</v>
      </c>
      <c r="F36" s="6">
        <f>ABS(PI()-(ABS(D37-D36)))</f>
        <v>1.0463248865706003</v>
      </c>
      <c r="G36" s="6">
        <f>INT(DEGREES(F36))</f>
        <v>59</v>
      </c>
      <c r="H36" s="6">
        <f>60*(DEGREES(F36)-INT(DEGREES(F36)))</f>
        <v>56.999999999999318</v>
      </c>
    </row>
    <row r="37" spans="1:8" x14ac:dyDescent="0.25">
      <c r="A37" s="6" t="s">
        <v>5</v>
      </c>
      <c r="B37" s="6">
        <v>265</v>
      </c>
      <c r="C37" s="6">
        <v>38</v>
      </c>
      <c r="D37" s="6">
        <f>(PI()*(B37+C37/60))/180</f>
        <v>4.6361762697142703</v>
      </c>
      <c r="E37" s="6" t="s">
        <v>6</v>
      </c>
      <c r="F37" s="6">
        <f>B40*SQRT(2)</f>
        <v>4.1137804982947838E-4</v>
      </c>
      <c r="G37" s="6">
        <f>INT(DEGREES(F37))</f>
        <v>0</v>
      </c>
      <c r="H37" s="6">
        <f>60*(DEGREES(F37)-INT(DEGREES(F37)))</f>
        <v>1.4142135623730951</v>
      </c>
    </row>
    <row r="38" spans="1:8" x14ac:dyDescent="0.25">
      <c r="A38" s="6"/>
      <c r="B38" s="6"/>
      <c r="C38" s="6"/>
      <c r="D38" s="6"/>
      <c r="E38" s="6"/>
      <c r="F38" s="6"/>
      <c r="G38" s="6"/>
      <c r="H38" s="6"/>
    </row>
    <row r="39" spans="1:8" x14ac:dyDescent="0.25">
      <c r="A39" s="6" t="s">
        <v>8</v>
      </c>
      <c r="B39" s="6">
        <f>1/60</f>
        <v>1.6666666666666666E-2</v>
      </c>
      <c r="C39" s="6"/>
      <c r="D39" s="6"/>
      <c r="E39" s="6"/>
      <c r="F39" s="6"/>
      <c r="G39" s="6"/>
      <c r="H39" s="6"/>
    </row>
    <row r="40" spans="1:8" x14ac:dyDescent="0.25">
      <c r="A40" s="6" t="s">
        <v>7</v>
      </c>
      <c r="B40" s="6">
        <f>B39*PI()/180</f>
        <v>2.9088820866572158E-4</v>
      </c>
      <c r="C40" s="6"/>
      <c r="D40" s="6"/>
      <c r="E40" s="6"/>
      <c r="F40" s="6"/>
      <c r="G40" s="6"/>
      <c r="H40" s="6"/>
    </row>
    <row r="43" spans="1:8" x14ac:dyDescent="0.25">
      <c r="A43" s="6"/>
      <c r="B43" s="6" t="s">
        <v>1</v>
      </c>
      <c r="C43" s="6" t="s">
        <v>2</v>
      </c>
      <c r="D43" s="6" t="s">
        <v>3</v>
      </c>
      <c r="E43" s="6"/>
      <c r="F43" s="6" t="s">
        <v>3</v>
      </c>
      <c r="G43" s="6" t="s">
        <v>1</v>
      </c>
      <c r="H43" s="6" t="s">
        <v>2</v>
      </c>
    </row>
    <row r="44" spans="1:8" x14ac:dyDescent="0.25">
      <c r="A44" s="6" t="s">
        <v>4</v>
      </c>
      <c r="B44" s="6">
        <v>30</v>
      </c>
      <c r="C44" s="6">
        <v>39.5</v>
      </c>
      <c r="D44" s="6">
        <f>(PI()*(B44+C44/60))/180</f>
        <v>0.53508885984059484</v>
      </c>
      <c r="E44" s="6" t="s">
        <v>10</v>
      </c>
      <c r="F44" s="6">
        <f>ABS(PI()-(ABS(D45-D44)))</f>
        <v>1.0467612188835984</v>
      </c>
      <c r="G44" s="6">
        <f>INT(DEGREES(F44))</f>
        <v>59</v>
      </c>
      <c r="H44" s="6">
        <f>60*(DEGREES(F44)-INT(DEGREES(F44)))</f>
        <v>58.499999999997527</v>
      </c>
    </row>
    <row r="45" spans="1:8" x14ac:dyDescent="0.25">
      <c r="A45" s="6" t="s">
        <v>5</v>
      </c>
      <c r="B45" s="6">
        <v>270</v>
      </c>
      <c r="C45" s="6">
        <v>38</v>
      </c>
      <c r="D45" s="6">
        <f>(PI()*(B45+C45/60))/180</f>
        <v>4.7234427323139867</v>
      </c>
      <c r="E45" s="6" t="s">
        <v>6</v>
      </c>
      <c r="F45" s="6">
        <f>B48*SQRT(2)</f>
        <v>4.1137804982947838E-4</v>
      </c>
      <c r="G45" s="6">
        <f>INT(DEGREES(F45))</f>
        <v>0</v>
      </c>
      <c r="H45" s="6">
        <f>60*(DEGREES(F45)-INT(DEGREES(F45)))</f>
        <v>1.4142135623730951</v>
      </c>
    </row>
    <row r="46" spans="1:8" x14ac:dyDescent="0.25">
      <c r="A46" s="6"/>
      <c r="B46" s="6"/>
      <c r="C46" s="6"/>
      <c r="D46" s="6"/>
      <c r="E46" s="6"/>
      <c r="F46" s="6"/>
      <c r="G46" s="6"/>
      <c r="H46" s="6"/>
    </row>
    <row r="47" spans="1:8" x14ac:dyDescent="0.25">
      <c r="A47" s="6" t="s">
        <v>8</v>
      </c>
      <c r="B47" s="6">
        <f>1/60</f>
        <v>1.6666666666666666E-2</v>
      </c>
      <c r="C47" s="6"/>
      <c r="D47" s="6"/>
      <c r="E47" s="6"/>
      <c r="F47" s="6"/>
      <c r="G47" s="6"/>
      <c r="H47" s="6"/>
    </row>
    <row r="48" spans="1:8" x14ac:dyDescent="0.25">
      <c r="A48" s="6" t="s">
        <v>7</v>
      </c>
      <c r="B48" s="6">
        <f>B47*PI()/180</f>
        <v>2.9088820866572158E-4</v>
      </c>
      <c r="C48" s="6"/>
      <c r="D48" s="6"/>
      <c r="E48" s="6"/>
      <c r="F48" s="6"/>
      <c r="G48" s="6"/>
      <c r="H48" s="6"/>
    </row>
    <row r="51" spans="1:8" x14ac:dyDescent="0.25">
      <c r="A51" s="6"/>
      <c r="B51" s="6"/>
      <c r="C51" s="6"/>
      <c r="D51" s="6"/>
      <c r="E51" s="6"/>
      <c r="F51" s="6"/>
      <c r="G51" s="6"/>
      <c r="H51" s="6"/>
    </row>
    <row r="52" spans="1:8" x14ac:dyDescent="0.25">
      <c r="A52" s="6"/>
      <c r="B52" s="6"/>
      <c r="C52" s="6"/>
      <c r="D52" s="6"/>
      <c r="E52" s="6"/>
      <c r="F52" s="6"/>
      <c r="G52" s="6"/>
      <c r="H52" s="6"/>
    </row>
    <row r="53" spans="1:8" x14ac:dyDescent="0.25">
      <c r="A53" s="6"/>
      <c r="B53" s="6"/>
      <c r="C53" s="6"/>
      <c r="D53" s="6"/>
      <c r="E53" s="6"/>
      <c r="F53" s="6"/>
      <c r="G53" s="6"/>
      <c r="H53" s="6"/>
    </row>
    <row r="54" spans="1:8" x14ac:dyDescent="0.25">
      <c r="A54" s="6"/>
      <c r="B54" s="6"/>
      <c r="C54" s="6"/>
      <c r="D54" s="6"/>
      <c r="E54" s="6"/>
      <c r="F54" s="6"/>
      <c r="G54" s="6"/>
      <c r="H54" s="6"/>
    </row>
    <row r="55" spans="1:8" x14ac:dyDescent="0.25">
      <c r="A55" s="6"/>
      <c r="B55" s="6"/>
      <c r="C55" s="6"/>
      <c r="D55" s="6"/>
      <c r="E55" s="6"/>
      <c r="F55" s="6"/>
      <c r="G55" s="6"/>
      <c r="H55" s="6"/>
    </row>
    <row r="56" spans="1:8" x14ac:dyDescent="0.25">
      <c r="A56" s="6"/>
      <c r="B56" s="6"/>
      <c r="C56" s="6"/>
      <c r="D56" s="6"/>
      <c r="E56" s="6"/>
      <c r="F56" s="6"/>
      <c r="G56" s="6"/>
      <c r="H5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opLeftCell="A52" zoomScaleNormal="100" workbookViewId="0">
      <selection activeCell="B79" sqref="B79:C84"/>
    </sheetView>
  </sheetViews>
  <sheetFormatPr defaultRowHeight="15" x14ac:dyDescent="0.25"/>
  <cols>
    <col min="1" max="1" width="14.85546875" bestFit="1" customWidth="1"/>
    <col min="2" max="2" width="12" bestFit="1" customWidth="1"/>
    <col min="13" max="13" width="10.140625" bestFit="1" customWidth="1"/>
    <col min="14" max="14" width="12" bestFit="1" customWidth="1"/>
  </cols>
  <sheetData>
    <row r="1" spans="1:15" x14ac:dyDescent="0.25">
      <c r="A1" t="s">
        <v>13</v>
      </c>
    </row>
    <row r="2" spans="1:15" x14ac:dyDescent="0.25">
      <c r="E2" t="s">
        <v>3</v>
      </c>
      <c r="F2" t="s">
        <v>53</v>
      </c>
      <c r="G2" t="s">
        <v>2</v>
      </c>
    </row>
    <row r="3" spans="1:15" x14ac:dyDescent="0.25">
      <c r="A3" t="s">
        <v>8</v>
      </c>
      <c r="B3">
        <v>1</v>
      </c>
      <c r="D3" t="s">
        <v>9</v>
      </c>
      <c r="E3">
        <f>'Calcolo alpha'!K19</f>
        <v>1.0463733679387108</v>
      </c>
      <c r="F3" s="6">
        <f>'Calcolo alpha'!L19</f>
        <v>59</v>
      </c>
      <c r="G3" s="6">
        <f>'Calcolo alpha'!M19</f>
        <v>57.166666666664412</v>
      </c>
    </row>
    <row r="4" spans="1:15" x14ac:dyDescent="0.25">
      <c r="A4" t="s">
        <v>16</v>
      </c>
      <c r="B4">
        <f>RADIANS(B3/60)</f>
        <v>2.9088820866572158E-4</v>
      </c>
      <c r="D4" t="s">
        <v>27</v>
      </c>
      <c r="E4" s="6">
        <f>'Calcolo alpha'!K20</f>
        <v>4.1137804982947838E-4</v>
      </c>
      <c r="F4" s="6">
        <f>'Calcolo alpha'!L20</f>
        <v>2.3570226039551587E-2</v>
      </c>
      <c r="G4" s="6">
        <f>'Calcolo alpha'!M20</f>
        <v>1.4142135623730951</v>
      </c>
    </row>
    <row r="6" spans="1:15" x14ac:dyDescent="0.25">
      <c r="B6" s="4" t="s">
        <v>1</v>
      </c>
      <c r="C6" s="4" t="s">
        <v>2</v>
      </c>
      <c r="D6" s="4" t="s">
        <v>3</v>
      </c>
    </row>
    <row r="7" spans="1:15" x14ac:dyDescent="0.25">
      <c r="A7" t="s">
        <v>18</v>
      </c>
      <c r="B7" s="7">
        <v>178</v>
      </c>
      <c r="C7" s="7">
        <v>41</v>
      </c>
      <c r="D7" s="4">
        <f>RADIANS(B7+C7/60)</f>
        <v>3.1186124851052011</v>
      </c>
    </row>
    <row r="10" spans="1:15" x14ac:dyDescent="0.25">
      <c r="B10" t="s">
        <v>15</v>
      </c>
      <c r="M10" s="5"/>
    </row>
    <row r="11" spans="1:15" x14ac:dyDescent="0.25">
      <c r="A11" t="s">
        <v>14</v>
      </c>
      <c r="B11" s="4">
        <f>404.656*0.000000001</f>
        <v>4.0465600000000002E-7</v>
      </c>
      <c r="C11" s="3"/>
      <c r="F11" s="9" t="s">
        <v>54</v>
      </c>
      <c r="G11" s="9"/>
      <c r="H11" s="9"/>
      <c r="I11" s="9"/>
      <c r="J11" s="9"/>
      <c r="M11" s="5"/>
    </row>
    <row r="12" spans="1:15" x14ac:dyDescent="0.25">
      <c r="B12" t="s">
        <v>1</v>
      </c>
      <c r="C12" t="s">
        <v>2</v>
      </c>
      <c r="D12" t="s">
        <v>3</v>
      </c>
      <c r="F12" s="9" t="s">
        <v>55</v>
      </c>
      <c r="G12" s="9" t="s">
        <v>56</v>
      </c>
      <c r="H12" s="9" t="s">
        <v>57</v>
      </c>
      <c r="J12" s="9"/>
      <c r="M12" s="5" t="s">
        <v>28</v>
      </c>
      <c r="N12" t="s">
        <v>29</v>
      </c>
      <c r="O12" t="s">
        <v>30</v>
      </c>
    </row>
    <row r="13" spans="1:15" x14ac:dyDescent="0.25">
      <c r="A13" t="s">
        <v>17</v>
      </c>
      <c r="B13" s="10">
        <v>104</v>
      </c>
      <c r="C13" s="10">
        <v>29</v>
      </c>
      <c r="D13">
        <f>RADIANS(B13+C13/60)</f>
        <v>1.8235781801254087</v>
      </c>
      <c r="F13" s="9">
        <f>INT(DEGREES(H13))</f>
        <v>74</v>
      </c>
      <c r="G13" s="9">
        <f>60*(DEGREES(H13)-INT(DEGREES(H13)))</f>
        <v>11.999999999999318</v>
      </c>
      <c r="H13" s="9">
        <f>ABS(D13-$D$7)</f>
        <v>1.2950343049797923</v>
      </c>
      <c r="J13" s="9"/>
      <c r="M13" s="5">
        <f>SIN((H19+$E$3)/2)/SIN($E$3/2)</f>
        <v>1.8433563805323061</v>
      </c>
      <c r="N13" s="5">
        <f>(COS((H19+$E$3)/2)/(2*SIN($E$3/2))*I19)^2+((0.5*COS((H19+$E$3)/2)*SIN($E$3/2)-0.5*COS($E$3/2)*SIN((H19+$E$3)/2))*$E$4/(SIN($E$3/2)^2))^2</f>
        <v>2.7316268701700868E-7</v>
      </c>
      <c r="O13">
        <f>SQRT(N13)</f>
        <v>5.2264967905568324E-4</v>
      </c>
    </row>
    <row r="14" spans="1:15" s="7" customFormat="1" x14ac:dyDescent="0.25">
      <c r="B14" s="10">
        <v>104</v>
      </c>
      <c r="C14" s="10">
        <v>30</v>
      </c>
      <c r="D14" s="8">
        <f t="shared" ref="D14:D18" si="0">RADIANS(B14+C14/60)</f>
        <v>1.8238690683340744</v>
      </c>
      <c r="F14" s="9">
        <f t="shared" ref="F14:F18" si="1">INT(DEGREES(H14))</f>
        <v>74</v>
      </c>
      <c r="G14" s="9">
        <f t="shared" ref="G14:G18" si="2">60*(DEGREES(H14)-INT(DEGREES(H14)))</f>
        <v>10.999999999999375</v>
      </c>
      <c r="H14" s="9">
        <f t="shared" ref="H14:H18" si="3">ABS(D14-$D$7)</f>
        <v>1.2947434167711267</v>
      </c>
      <c r="J14" s="9"/>
    </row>
    <row r="15" spans="1:15" s="7" customFormat="1" x14ac:dyDescent="0.25">
      <c r="B15" s="10">
        <v>104</v>
      </c>
      <c r="C15" s="10">
        <v>31.5</v>
      </c>
      <c r="D15" s="8">
        <f t="shared" si="0"/>
        <v>1.8243054006470731</v>
      </c>
      <c r="F15" s="9">
        <f t="shared" si="1"/>
        <v>74</v>
      </c>
      <c r="G15" s="9">
        <f t="shared" si="2"/>
        <v>9.4999999999990337</v>
      </c>
      <c r="H15" s="9">
        <f t="shared" si="3"/>
        <v>1.2943070844581279</v>
      </c>
      <c r="J15" s="9"/>
    </row>
    <row r="16" spans="1:15" s="7" customFormat="1" x14ac:dyDescent="0.25">
      <c r="B16" s="10">
        <v>252</v>
      </c>
      <c r="C16" s="10">
        <v>53</v>
      </c>
      <c r="D16" s="8">
        <f t="shared" si="0"/>
        <v>4.4136467900849938</v>
      </c>
      <c r="F16" s="9">
        <f t="shared" si="1"/>
        <v>74</v>
      </c>
      <c r="G16" s="9">
        <f t="shared" si="2"/>
        <v>12.000000000001023</v>
      </c>
      <c r="H16" s="9">
        <f t="shared" si="3"/>
        <v>1.2950343049797928</v>
      </c>
      <c r="J16" s="9"/>
    </row>
    <row r="17" spans="1:15" s="7" customFormat="1" x14ac:dyDescent="0.25">
      <c r="B17" s="10">
        <v>252</v>
      </c>
      <c r="C17" s="10">
        <v>54</v>
      </c>
      <c r="D17" s="8">
        <f t="shared" si="0"/>
        <v>4.4139376782936592</v>
      </c>
      <c r="F17" s="9">
        <f t="shared" si="1"/>
        <v>74</v>
      </c>
      <c r="G17" s="9">
        <f t="shared" si="2"/>
        <v>13.000000000000114</v>
      </c>
      <c r="H17" s="9">
        <f t="shared" si="3"/>
        <v>1.2953251931884582</v>
      </c>
      <c r="J17" s="9"/>
    </row>
    <row r="18" spans="1:15" s="7" customFormat="1" x14ac:dyDescent="0.25">
      <c r="B18" s="10">
        <v>252</v>
      </c>
      <c r="C18" s="10">
        <v>55</v>
      </c>
      <c r="D18" s="8">
        <f t="shared" si="0"/>
        <v>4.4142285665023246</v>
      </c>
      <c r="F18" s="9">
        <f t="shared" si="1"/>
        <v>74</v>
      </c>
      <c r="G18" s="9">
        <f t="shared" si="2"/>
        <v>13.999999999998352</v>
      </c>
      <c r="H18" s="9">
        <f t="shared" si="3"/>
        <v>1.2956160813971236</v>
      </c>
      <c r="J18" s="9"/>
    </row>
    <row r="19" spans="1:15" x14ac:dyDescent="0.25">
      <c r="B19" s="5"/>
      <c r="C19" s="5"/>
      <c r="D19" s="5"/>
      <c r="F19" s="9"/>
      <c r="G19" s="9"/>
      <c r="H19" s="9">
        <f>AVERAGE(H13:H18)</f>
        <v>1.295010064295737</v>
      </c>
      <c r="I19">
        <f>_xlfn.STDEV.P(H13:H18)</f>
        <v>4.1493367385509692E-4</v>
      </c>
      <c r="J19" s="9"/>
      <c r="M19" s="5"/>
    </row>
    <row r="20" spans="1:15" x14ac:dyDescent="0.25">
      <c r="M20" s="5"/>
    </row>
    <row r="21" spans="1:15" x14ac:dyDescent="0.25">
      <c r="A21" s="5"/>
      <c r="B21" s="5" t="s">
        <v>15</v>
      </c>
      <c r="C21" s="5"/>
      <c r="D21" s="5"/>
    </row>
    <row r="22" spans="1:15" x14ac:dyDescent="0.25">
      <c r="A22" s="5" t="s">
        <v>19</v>
      </c>
      <c r="B22" s="5">
        <f>407.783*0.000000001</f>
        <v>4.0778300000000005E-7</v>
      </c>
      <c r="C22" s="5"/>
      <c r="D22" s="5"/>
    </row>
    <row r="23" spans="1:15" x14ac:dyDescent="0.25">
      <c r="A23" s="5"/>
      <c r="B23" s="9" t="s">
        <v>1</v>
      </c>
      <c r="C23" s="9" t="s">
        <v>2</v>
      </c>
      <c r="D23" s="9" t="s">
        <v>3</v>
      </c>
      <c r="E23" s="9"/>
      <c r="F23" s="9" t="s">
        <v>55</v>
      </c>
      <c r="G23" s="9" t="s">
        <v>56</v>
      </c>
      <c r="H23" s="9" t="s">
        <v>57</v>
      </c>
      <c r="I23" s="9"/>
      <c r="J23" s="9"/>
      <c r="K23" s="9"/>
      <c r="L23" s="9"/>
      <c r="M23" s="9" t="s">
        <v>28</v>
      </c>
      <c r="N23" s="9" t="s">
        <v>29</v>
      </c>
      <c r="O23" s="9" t="s">
        <v>30</v>
      </c>
    </row>
    <row r="24" spans="1:15" x14ac:dyDescent="0.25">
      <c r="A24" s="5" t="s">
        <v>17</v>
      </c>
      <c r="B24" s="11">
        <v>104</v>
      </c>
      <c r="C24" s="11">
        <v>47</v>
      </c>
      <c r="D24" s="9">
        <f>RADIANS(B24+C24/60)</f>
        <v>1.8288141678813916</v>
      </c>
      <c r="E24" s="9"/>
      <c r="F24" s="9">
        <f>INT(DEGREES(H24))</f>
        <v>73</v>
      </c>
      <c r="G24" s="9">
        <f>60*(DEGREES(H24)-INT(DEGREES(H24)))</f>
        <v>53.999999999999488</v>
      </c>
      <c r="H24" s="9">
        <f>ABS(D24-$D$7)</f>
        <v>1.2897983172238094</v>
      </c>
      <c r="I24" s="9"/>
      <c r="J24" s="9"/>
      <c r="K24" s="9"/>
      <c r="L24" s="9"/>
      <c r="M24" s="9">
        <f>SIN((H30+$E$3)/2)/SIN($E$3/2)</f>
        <v>1.841280591554028</v>
      </c>
      <c r="N24" s="9">
        <f>(COS((H30+$E$3)/2)/(2*SIN($E$3/2))*I30)^2+((0.5*COS((H30+$E$3)/2)*SIN($E$3/2)-0.5*COS($E$3/2)*SIN((H30+$E$3)/2))*$E$4/(SIN($E$3/2)^2))^2</f>
        <v>2.5684264508234677E-7</v>
      </c>
      <c r="O24" s="9">
        <f>SQRT(N24)</f>
        <v>5.0679645330482218E-4</v>
      </c>
    </row>
    <row r="25" spans="1:15" s="9" customFormat="1" x14ac:dyDescent="0.25">
      <c r="B25" s="11">
        <v>104</v>
      </c>
      <c r="C25" s="11">
        <v>49</v>
      </c>
      <c r="D25" s="9">
        <f>RADIANS(B25+C25/60)</f>
        <v>1.8293959442987231</v>
      </c>
      <c r="F25" s="9">
        <f t="shared" ref="F25:F29" si="4">INT(DEGREES(H25))</f>
        <v>73</v>
      </c>
      <c r="G25" s="9">
        <f t="shared" ref="G25:G29" si="5">60*(DEGREES(H25)-INT(DEGREES(H25)))</f>
        <v>51.999999999999602</v>
      </c>
      <c r="H25" s="9">
        <f>ABS(D25-$D$7)</f>
        <v>1.289216540806478</v>
      </c>
    </row>
    <row r="26" spans="1:15" s="9" customFormat="1" x14ac:dyDescent="0.25">
      <c r="B26" s="11">
        <v>104</v>
      </c>
      <c r="C26" s="11">
        <v>47</v>
      </c>
      <c r="D26" s="9">
        <f t="shared" ref="D25:D29" si="6">RADIANS(B26+C26/60)</f>
        <v>1.8288141678813916</v>
      </c>
      <c r="F26" s="9">
        <f t="shared" si="4"/>
        <v>73</v>
      </c>
      <c r="G26" s="9">
        <f t="shared" si="5"/>
        <v>53.999999999999488</v>
      </c>
      <c r="H26" s="9">
        <f t="shared" ref="H25:H29" si="7">ABS(D26-$D$7)</f>
        <v>1.2897983172238094</v>
      </c>
    </row>
    <row r="27" spans="1:15" s="9" customFormat="1" x14ac:dyDescent="0.25">
      <c r="B27" s="11">
        <v>252</v>
      </c>
      <c r="C27" s="11">
        <v>34</v>
      </c>
      <c r="D27" s="9">
        <f t="shared" si="6"/>
        <v>4.4081199141203449</v>
      </c>
      <c r="F27" s="9">
        <f t="shared" si="4"/>
        <v>73</v>
      </c>
      <c r="G27" s="9">
        <f t="shared" si="5"/>
        <v>53.000000000000398</v>
      </c>
      <c r="H27" s="9">
        <f t="shared" si="7"/>
        <v>1.2895074290151438</v>
      </c>
    </row>
    <row r="28" spans="1:15" s="9" customFormat="1" x14ac:dyDescent="0.25">
      <c r="B28" s="12">
        <v>252</v>
      </c>
      <c r="C28" s="12">
        <v>36</v>
      </c>
      <c r="D28" s="9">
        <f t="shared" si="6"/>
        <v>4.4087016905376766</v>
      </c>
      <c r="F28" s="9">
        <f t="shared" si="4"/>
        <v>73</v>
      </c>
      <c r="G28" s="9">
        <f t="shared" si="5"/>
        <v>55.000000000001137</v>
      </c>
      <c r="H28" s="9">
        <f t="shared" si="7"/>
        <v>1.2900892054324755</v>
      </c>
    </row>
    <row r="29" spans="1:15" s="9" customFormat="1" x14ac:dyDescent="0.25">
      <c r="B29" s="11">
        <v>252</v>
      </c>
      <c r="C29" s="11">
        <v>35</v>
      </c>
      <c r="D29" s="9">
        <f t="shared" si="6"/>
        <v>4.4084108023290112</v>
      </c>
      <c r="F29" s="9">
        <f t="shared" si="4"/>
        <v>73</v>
      </c>
      <c r="G29" s="9">
        <f t="shared" si="5"/>
        <v>54.000000000002046</v>
      </c>
      <c r="H29" s="9">
        <f t="shared" si="7"/>
        <v>1.2897983172238101</v>
      </c>
    </row>
    <row r="30" spans="1:15" x14ac:dyDescent="0.25">
      <c r="B30" s="9"/>
      <c r="C30" s="9"/>
      <c r="D30" s="9"/>
      <c r="E30" s="9"/>
      <c r="F30" s="9"/>
      <c r="G30" s="9"/>
      <c r="H30" s="9">
        <f>AVERAGE(H24:H29)</f>
        <v>1.2897013544875877</v>
      </c>
      <c r="I30" s="9">
        <f>_xlfn.STDEV.P(H24:H29)</f>
        <v>2.742520332197747E-4</v>
      </c>
      <c r="J30" s="9"/>
      <c r="K30" s="9"/>
      <c r="L30" s="9"/>
      <c r="M30" s="9"/>
      <c r="N30" s="9"/>
      <c r="O30" s="9"/>
    </row>
    <row r="32" spans="1:15" x14ac:dyDescent="0.25">
      <c r="A32" s="5"/>
      <c r="B32" s="5" t="s">
        <v>15</v>
      </c>
      <c r="C32" s="5"/>
      <c r="D32" s="5"/>
    </row>
    <row r="33" spans="1:15" x14ac:dyDescent="0.25">
      <c r="A33" s="5" t="s">
        <v>20</v>
      </c>
      <c r="B33" s="5">
        <f>0.000000435833</f>
        <v>4.3583299999999998E-7</v>
      </c>
      <c r="C33" s="5"/>
      <c r="D33" s="5"/>
      <c r="F33" s="5"/>
      <c r="G33" s="5"/>
    </row>
    <row r="34" spans="1:15" x14ac:dyDescent="0.25">
      <c r="A34" s="5"/>
      <c r="B34" s="9" t="s">
        <v>1</v>
      </c>
      <c r="C34" s="9" t="s">
        <v>2</v>
      </c>
      <c r="D34" s="9" t="s">
        <v>3</v>
      </c>
      <c r="E34" s="9"/>
      <c r="F34" s="9" t="s">
        <v>55</v>
      </c>
      <c r="G34" s="9" t="s">
        <v>56</v>
      </c>
      <c r="H34" s="9" t="s">
        <v>57</v>
      </c>
      <c r="I34" s="9"/>
      <c r="J34" s="9"/>
      <c r="K34" s="9"/>
      <c r="L34" s="9"/>
      <c r="M34" s="9" t="s">
        <v>28</v>
      </c>
      <c r="N34" s="9" t="s">
        <v>29</v>
      </c>
      <c r="O34" s="9" t="s">
        <v>30</v>
      </c>
    </row>
    <row r="35" spans="1:15" x14ac:dyDescent="0.25">
      <c r="A35" s="5" t="s">
        <v>17</v>
      </c>
      <c r="B35" s="13">
        <v>106</v>
      </c>
      <c r="C35" s="13">
        <v>55</v>
      </c>
      <c r="D35" s="9">
        <f>RADIANS(B35+C35/60)</f>
        <v>1.8660478585906042</v>
      </c>
      <c r="E35" s="9"/>
      <c r="F35" s="9">
        <f>INT(DEGREES(H35))</f>
        <v>71</v>
      </c>
      <c r="G35" s="9">
        <f>60*(DEGREES(H35)-INT(DEGREES(H35)))</f>
        <v>45.999999999999091</v>
      </c>
      <c r="H35" s="9">
        <f>ABS(D35-$D$7)</f>
        <v>1.2525646265145969</v>
      </c>
      <c r="I35" s="9"/>
      <c r="J35" s="9"/>
      <c r="K35" s="9"/>
      <c r="L35" s="9"/>
      <c r="M35" s="9">
        <f>SIN((H41+$E$3)/2)/SIN($E$3/2)</f>
        <v>1.8263380485735974</v>
      </c>
      <c r="N35" s="9">
        <f>(COS((H41+$E$3)/2)/(2*SIN($E$3/2))*I41)^2+((0.5*COS((H41+$E$3)/2)*SIN($E$3/2)-0.5*COS($E$3/2)*SIN((H41+$E$3)/2))*$E$4/(SIN($E$3/2)^2))^2</f>
        <v>2.4617712480138173E-7</v>
      </c>
      <c r="O35" s="9">
        <f>SQRT(N35)</f>
        <v>4.9616239760927241E-4</v>
      </c>
    </row>
    <row r="36" spans="1:15" s="9" customFormat="1" x14ac:dyDescent="0.25">
      <c r="B36" s="13">
        <v>106</v>
      </c>
      <c r="C36" s="13">
        <v>56</v>
      </c>
      <c r="D36" s="9">
        <f t="shared" ref="D36:D40" si="8">RADIANS(B36+C36/60)</f>
        <v>1.8663387467992698</v>
      </c>
      <c r="F36" s="9">
        <f t="shared" ref="F36:F40" si="9">INT(DEGREES(H36))</f>
        <v>71</v>
      </c>
      <c r="G36" s="9">
        <f t="shared" ref="G36:G40" si="10">60*(DEGREES(H36)-INT(DEGREES(H36)))</f>
        <v>44.999999999999147</v>
      </c>
      <c r="H36" s="9">
        <f t="shared" ref="H36:H40" si="11">ABS(D36-$D$7)</f>
        <v>1.2522737383059312</v>
      </c>
    </row>
    <row r="37" spans="1:15" s="9" customFormat="1" x14ac:dyDescent="0.25">
      <c r="B37" s="13">
        <v>106</v>
      </c>
      <c r="C37" s="13">
        <v>57</v>
      </c>
      <c r="D37" s="9">
        <f t="shared" si="8"/>
        <v>1.8666296350079354</v>
      </c>
      <c r="F37" s="9">
        <f t="shared" si="9"/>
        <v>71</v>
      </c>
      <c r="G37" s="9">
        <f t="shared" si="10"/>
        <v>44.000000000000057</v>
      </c>
      <c r="H37" s="9">
        <f t="shared" si="11"/>
        <v>1.2519828500972656</v>
      </c>
    </row>
    <row r="38" spans="1:15" s="9" customFormat="1" x14ac:dyDescent="0.25">
      <c r="B38" s="13">
        <v>250</v>
      </c>
      <c r="C38" s="13">
        <v>26</v>
      </c>
      <c r="D38" s="9">
        <f t="shared" si="8"/>
        <v>4.3708862234111328</v>
      </c>
      <c r="F38" s="9">
        <f t="shared" si="9"/>
        <v>71</v>
      </c>
      <c r="G38" s="9">
        <f t="shared" si="10"/>
        <v>45.000000000000853</v>
      </c>
      <c r="H38" s="9">
        <f t="shared" si="11"/>
        <v>1.2522737383059317</v>
      </c>
    </row>
    <row r="39" spans="1:15" s="9" customFormat="1" x14ac:dyDescent="0.25">
      <c r="B39" s="14">
        <v>250</v>
      </c>
      <c r="C39" s="14">
        <v>28</v>
      </c>
      <c r="D39" s="9">
        <f t="shared" si="8"/>
        <v>4.3714679998284645</v>
      </c>
      <c r="F39" s="9">
        <f t="shared" si="9"/>
        <v>71</v>
      </c>
      <c r="G39" s="9">
        <f t="shared" si="10"/>
        <v>47.000000000001592</v>
      </c>
      <c r="H39" s="9">
        <f t="shared" si="11"/>
        <v>1.2528555147232634</v>
      </c>
    </row>
    <row r="40" spans="1:15" s="9" customFormat="1" x14ac:dyDescent="0.25">
      <c r="B40" s="13">
        <v>250</v>
      </c>
      <c r="C40" s="13">
        <v>27</v>
      </c>
      <c r="D40" s="9">
        <f t="shared" si="8"/>
        <v>4.3711771116197982</v>
      </c>
      <c r="F40" s="9">
        <f t="shared" si="9"/>
        <v>71</v>
      </c>
      <c r="G40" s="9">
        <f t="shared" si="10"/>
        <v>45.999999999999943</v>
      </c>
      <c r="H40" s="9">
        <f t="shared" si="11"/>
        <v>1.2525646265145971</v>
      </c>
    </row>
    <row r="41" spans="1:15" x14ac:dyDescent="0.25">
      <c r="B41" s="9"/>
      <c r="C41" s="9"/>
      <c r="D41" s="9"/>
      <c r="E41" s="9"/>
      <c r="F41" s="9"/>
      <c r="G41" s="9"/>
      <c r="H41" s="9">
        <f>AVERAGE(H35:H40)</f>
        <v>1.2524191824102642</v>
      </c>
      <c r="I41" s="9">
        <f>_xlfn.STDEV.P(H35:H40)</f>
        <v>2.785042563033684E-4</v>
      </c>
      <c r="J41" s="9"/>
      <c r="K41" s="9"/>
      <c r="L41" s="9"/>
      <c r="M41" s="9"/>
      <c r="N41" s="9"/>
      <c r="O41" s="9"/>
    </row>
    <row r="43" spans="1:15" x14ac:dyDescent="0.25">
      <c r="A43" s="5"/>
      <c r="B43" s="5" t="s">
        <v>15</v>
      </c>
      <c r="C43" s="5"/>
      <c r="D43" s="5"/>
    </row>
    <row r="44" spans="1:15" x14ac:dyDescent="0.25">
      <c r="A44" s="5" t="s">
        <v>21</v>
      </c>
      <c r="B44" s="5">
        <f>491.607*0.000000001</f>
        <v>4.9160700000000007E-7</v>
      </c>
      <c r="C44" s="5"/>
      <c r="D44" s="5"/>
    </row>
    <row r="45" spans="1:15" x14ac:dyDescent="0.25">
      <c r="A45" s="5"/>
      <c r="B45" s="9" t="s">
        <v>1</v>
      </c>
      <c r="C45" s="9" t="s">
        <v>2</v>
      </c>
      <c r="D45" s="9" t="s">
        <v>3</v>
      </c>
      <c r="E45" s="9"/>
      <c r="F45" s="9" t="s">
        <v>55</v>
      </c>
      <c r="G45" s="9" t="s">
        <v>56</v>
      </c>
      <c r="H45" s="9" t="s">
        <v>57</v>
      </c>
      <c r="I45" s="9"/>
      <c r="J45" s="9"/>
      <c r="K45" s="9"/>
      <c r="L45" s="9"/>
      <c r="M45" s="9" t="s">
        <v>28</v>
      </c>
      <c r="N45" s="9" t="s">
        <v>29</v>
      </c>
      <c r="O45" s="9" t="s">
        <v>30</v>
      </c>
    </row>
    <row r="46" spans="1:15" x14ac:dyDescent="0.25">
      <c r="A46" s="5" t="s">
        <v>17</v>
      </c>
      <c r="B46" s="15">
        <v>109</v>
      </c>
      <c r="C46" s="15">
        <v>43</v>
      </c>
      <c r="D46" s="9">
        <f>RADIANS(B46+C46/60)</f>
        <v>1.9149170776464453</v>
      </c>
      <c r="E46" s="9"/>
      <c r="F46" s="9">
        <f>INT(DEGREES(H46))</f>
        <v>68</v>
      </c>
      <c r="G46" s="9">
        <f>60*(DEGREES(H46)-INT(DEGREES(H46)))</f>
        <v>57.999999999999261</v>
      </c>
      <c r="H46" s="9">
        <f>ABS(D46-$D$7)</f>
        <v>1.2036954074587558</v>
      </c>
      <c r="I46" s="9"/>
      <c r="J46" s="9"/>
      <c r="K46" s="9"/>
      <c r="L46" s="9"/>
      <c r="M46" s="9">
        <f>SIN((H52+$E$3)/2)/SIN($E$3/2)</f>
        <v>1.8059794332799115</v>
      </c>
      <c r="N46" s="9">
        <f>(COS((H52+$E$3)/2)/(2*SIN($E$3/2))*I52)^2+((0.5*COS((H52+$E$3)/2)*SIN($E$3/2)-0.5*COS($E$3/2)*SIN((H52+$E$3)/2))*$E$4/(SIN($E$3/2)^2))^2</f>
        <v>2.4393467639575778E-7</v>
      </c>
      <c r="O46" s="9">
        <f>SQRT(N46)</f>
        <v>4.9389743509736697E-4</v>
      </c>
    </row>
    <row r="47" spans="1:15" s="9" customFormat="1" x14ac:dyDescent="0.25">
      <c r="B47" s="15">
        <v>109</v>
      </c>
      <c r="C47" s="15">
        <v>44</v>
      </c>
      <c r="D47" s="9">
        <f t="shared" ref="D47:D51" si="12">RADIANS(B47+C47/60)</f>
        <v>1.9152079658551109</v>
      </c>
      <c r="F47" s="9">
        <f t="shared" ref="F47:F51" si="13">INT(DEGREES(H47))</f>
        <v>68</v>
      </c>
      <c r="G47" s="9">
        <f t="shared" ref="G47:G51" si="14">60*(DEGREES(H47)-INT(DEGREES(H47)))</f>
        <v>57.000000000000171</v>
      </c>
      <c r="H47" s="9">
        <f t="shared" ref="H47:H51" si="15">ABS(D47-$D$7)</f>
        <v>1.2034045192500902</v>
      </c>
    </row>
    <row r="48" spans="1:15" s="9" customFormat="1" x14ac:dyDescent="0.25">
      <c r="B48" s="15">
        <v>109</v>
      </c>
      <c r="C48" s="15">
        <v>42</v>
      </c>
      <c r="D48" s="9">
        <f t="shared" si="12"/>
        <v>1.9146261894377796</v>
      </c>
      <c r="F48" s="9">
        <f t="shared" si="13"/>
        <v>68</v>
      </c>
      <c r="G48" s="9">
        <f t="shared" si="14"/>
        <v>58.999999999999204</v>
      </c>
      <c r="H48" s="9">
        <f t="shared" si="15"/>
        <v>1.2039862956674214</v>
      </c>
    </row>
    <row r="49" spans="1:15" s="9" customFormat="1" x14ac:dyDescent="0.25">
      <c r="B49" s="15">
        <v>247</v>
      </c>
      <c r="C49" s="15">
        <v>40</v>
      </c>
      <c r="D49" s="9">
        <f t="shared" si="12"/>
        <v>4.3225987807726227</v>
      </c>
      <c r="F49" s="9">
        <f t="shared" si="13"/>
        <v>68</v>
      </c>
      <c r="G49" s="9">
        <f t="shared" si="14"/>
        <v>59.000000000000057</v>
      </c>
      <c r="H49" s="9">
        <f t="shared" si="15"/>
        <v>1.2039862956674217</v>
      </c>
    </row>
    <row r="50" spans="1:15" s="9" customFormat="1" x14ac:dyDescent="0.25">
      <c r="B50" s="15">
        <v>247</v>
      </c>
      <c r="C50" s="15">
        <v>41</v>
      </c>
      <c r="D50" s="9">
        <f t="shared" si="12"/>
        <v>4.322889668981289</v>
      </c>
      <c r="F50" s="9">
        <f t="shared" si="13"/>
        <v>69</v>
      </c>
      <c r="G50" s="9">
        <f t="shared" si="14"/>
        <v>1.7053025658242404E-12</v>
      </c>
      <c r="H50" s="9">
        <f t="shared" si="15"/>
        <v>1.204277183876088</v>
      </c>
    </row>
    <row r="51" spans="1:15" s="9" customFormat="1" x14ac:dyDescent="0.25">
      <c r="B51" s="15">
        <v>247</v>
      </c>
      <c r="C51" s="15">
        <v>42</v>
      </c>
      <c r="D51" s="9">
        <f t="shared" si="12"/>
        <v>4.3231805571899544</v>
      </c>
      <c r="F51" s="9">
        <f t="shared" si="13"/>
        <v>69</v>
      </c>
      <c r="G51" s="9">
        <f t="shared" si="14"/>
        <v>1.0000000000007958</v>
      </c>
      <c r="H51" s="9">
        <f t="shared" si="15"/>
        <v>1.2045680720847534</v>
      </c>
    </row>
    <row r="52" spans="1:15" x14ac:dyDescent="0.25">
      <c r="B52" s="9"/>
      <c r="C52" s="9"/>
      <c r="D52" s="9"/>
      <c r="E52" s="9"/>
      <c r="F52" s="9"/>
      <c r="G52" s="9"/>
      <c r="H52" s="9">
        <f>AVERAGE(H46:H51)</f>
        <v>1.2039862956674219</v>
      </c>
      <c r="I52" s="9">
        <f>_xlfn.STDEV.P(H46:H51)</f>
        <v>3.7553506259031696E-4</v>
      </c>
      <c r="J52" s="9"/>
      <c r="K52" s="9"/>
      <c r="L52" s="9"/>
      <c r="M52" s="9"/>
      <c r="N52" s="9"/>
      <c r="O52" s="9"/>
    </row>
    <row r="54" spans="1:15" x14ac:dyDescent="0.25">
      <c r="A54" s="5"/>
      <c r="B54" s="5" t="s">
        <v>15</v>
      </c>
      <c r="C54" s="5"/>
      <c r="D54" s="5"/>
    </row>
    <row r="55" spans="1:15" x14ac:dyDescent="0.25">
      <c r="A55" s="5" t="s">
        <v>22</v>
      </c>
      <c r="B55" s="5">
        <f>497.037*0.000000001</f>
        <v>4.9703700000000003E-7</v>
      </c>
      <c r="C55" s="5"/>
      <c r="D55" s="5"/>
    </row>
    <row r="56" spans="1:15" x14ac:dyDescent="0.25">
      <c r="A56" s="5"/>
      <c r="B56" s="9" t="s">
        <v>1</v>
      </c>
      <c r="C56" s="9" t="s">
        <v>2</v>
      </c>
      <c r="D56" s="9" t="s">
        <v>3</v>
      </c>
      <c r="E56" s="9"/>
      <c r="F56" s="9" t="s">
        <v>55</v>
      </c>
      <c r="G56" s="9" t="s">
        <v>56</v>
      </c>
      <c r="H56" s="9" t="s">
        <v>57</v>
      </c>
      <c r="I56" s="9"/>
      <c r="J56" s="9"/>
      <c r="K56" s="9"/>
      <c r="L56" s="9"/>
      <c r="M56" s="9" t="s">
        <v>28</v>
      </c>
      <c r="N56" s="9" t="s">
        <v>29</v>
      </c>
      <c r="O56" s="9" t="s">
        <v>30</v>
      </c>
    </row>
    <row r="57" spans="1:15" x14ac:dyDescent="0.25">
      <c r="A57" s="5" t="s">
        <v>17</v>
      </c>
      <c r="B57" s="16">
        <v>109</v>
      </c>
      <c r="C57" s="16">
        <v>43</v>
      </c>
      <c r="D57" s="9">
        <f>RADIANS(B57+C57/60)</f>
        <v>1.9149170776464453</v>
      </c>
      <c r="E57" s="9"/>
      <c r="F57" s="9">
        <f>INT(DEGREES(H57))</f>
        <v>68</v>
      </c>
      <c r="G57" s="9">
        <f>60*(DEGREES(H57)-INT(DEGREES(H57)))</f>
        <v>57.999999999999261</v>
      </c>
      <c r="H57" s="9">
        <f>ABS(D57-$D$7)</f>
        <v>1.2036954074587558</v>
      </c>
      <c r="I57" s="9"/>
      <c r="J57" s="9"/>
      <c r="K57" s="9"/>
      <c r="L57" s="9"/>
      <c r="M57" s="9">
        <f>SIN((H63+$E$3)/2)/SIN($E$3/2)</f>
        <v>1.8059794332799115</v>
      </c>
      <c r="N57" s="9">
        <f>(COS((H63+$E$3)/2)/(2*SIN($E$3/2))*I63)^2+((0.5*COS((H63+$E$3)/2)*SIN($E$3/2)-0.5*COS($E$3/2)*SIN((H63+$E$3)/2))*$E$4/(SIN($E$3/2)^2))^2</f>
        <v>2.4393467639575778E-7</v>
      </c>
      <c r="O57" s="9">
        <f>SQRT(N57)</f>
        <v>4.9389743509736697E-4</v>
      </c>
    </row>
    <row r="58" spans="1:15" s="9" customFormat="1" x14ac:dyDescent="0.25">
      <c r="B58" s="16">
        <v>109</v>
      </c>
      <c r="C58" s="16">
        <v>44</v>
      </c>
      <c r="D58" s="9">
        <f t="shared" ref="D58:D62" si="16">RADIANS(B58+C58/60)</f>
        <v>1.9152079658551109</v>
      </c>
      <c r="F58" s="9">
        <f t="shared" ref="F58:F62" si="17">INT(DEGREES(H58))</f>
        <v>68</v>
      </c>
      <c r="G58" s="9">
        <f t="shared" ref="G58:G62" si="18">60*(DEGREES(H58)-INT(DEGREES(H58)))</f>
        <v>57.000000000000171</v>
      </c>
      <c r="H58" s="9">
        <f t="shared" ref="H58:H62" si="19">ABS(D58-$D$7)</f>
        <v>1.2034045192500902</v>
      </c>
    </row>
    <row r="59" spans="1:15" s="9" customFormat="1" x14ac:dyDescent="0.25">
      <c r="B59" s="16">
        <v>109</v>
      </c>
      <c r="C59" s="16">
        <v>42</v>
      </c>
      <c r="D59" s="9">
        <f t="shared" si="16"/>
        <v>1.9146261894377796</v>
      </c>
      <c r="F59" s="9">
        <f t="shared" si="17"/>
        <v>68</v>
      </c>
      <c r="G59" s="9">
        <f t="shared" si="18"/>
        <v>58.999999999999204</v>
      </c>
      <c r="H59" s="9">
        <f t="shared" si="19"/>
        <v>1.2039862956674214</v>
      </c>
    </row>
    <row r="60" spans="1:15" s="9" customFormat="1" x14ac:dyDescent="0.25">
      <c r="B60" s="16">
        <v>247</v>
      </c>
      <c r="C60" s="16">
        <v>40</v>
      </c>
      <c r="D60" s="9">
        <f t="shared" si="16"/>
        <v>4.3225987807726227</v>
      </c>
      <c r="F60" s="9">
        <f t="shared" si="17"/>
        <v>68</v>
      </c>
      <c r="G60" s="9">
        <f t="shared" si="18"/>
        <v>59.000000000000057</v>
      </c>
      <c r="H60" s="9">
        <f t="shared" si="19"/>
        <v>1.2039862956674217</v>
      </c>
    </row>
    <row r="61" spans="1:15" s="9" customFormat="1" x14ac:dyDescent="0.25">
      <c r="B61" s="16">
        <v>247</v>
      </c>
      <c r="C61" s="16">
        <v>41</v>
      </c>
      <c r="D61" s="9">
        <f t="shared" si="16"/>
        <v>4.322889668981289</v>
      </c>
      <c r="F61" s="9">
        <f t="shared" si="17"/>
        <v>69</v>
      </c>
      <c r="G61" s="9">
        <f t="shared" si="18"/>
        <v>1.7053025658242404E-12</v>
      </c>
      <c r="H61" s="9">
        <f t="shared" si="19"/>
        <v>1.204277183876088</v>
      </c>
    </row>
    <row r="62" spans="1:15" s="9" customFormat="1" x14ac:dyDescent="0.25">
      <c r="B62" s="16">
        <v>247</v>
      </c>
      <c r="C62" s="16">
        <v>42</v>
      </c>
      <c r="D62" s="9">
        <f t="shared" si="16"/>
        <v>4.3231805571899544</v>
      </c>
      <c r="F62" s="9">
        <f t="shared" si="17"/>
        <v>69</v>
      </c>
      <c r="G62" s="9">
        <f t="shared" si="18"/>
        <v>1.0000000000007958</v>
      </c>
      <c r="H62" s="9">
        <f t="shared" si="19"/>
        <v>1.2045680720847534</v>
      </c>
    </row>
    <row r="63" spans="1:15" x14ac:dyDescent="0.25">
      <c r="B63" s="9"/>
      <c r="C63" s="9"/>
      <c r="D63" s="9"/>
      <c r="E63" s="9"/>
      <c r="F63" s="9"/>
      <c r="G63" s="9"/>
      <c r="H63" s="9">
        <f>AVERAGE(H57:H62)</f>
        <v>1.2039862956674219</v>
      </c>
      <c r="I63" s="9">
        <f>_xlfn.STDEV.P(H57:H62)</f>
        <v>3.7553506259031696E-4</v>
      </c>
      <c r="J63" s="9"/>
      <c r="K63" s="9"/>
      <c r="L63" s="9"/>
      <c r="M63" s="9"/>
      <c r="N63" s="9"/>
      <c r="O63" s="9"/>
    </row>
    <row r="65" spans="1:15" x14ac:dyDescent="0.25">
      <c r="A65" s="5"/>
      <c r="B65" s="5" t="s">
        <v>15</v>
      </c>
      <c r="C65" s="5"/>
      <c r="D65" s="5"/>
    </row>
    <row r="66" spans="1:15" x14ac:dyDescent="0.25">
      <c r="A66" s="5" t="s">
        <v>23</v>
      </c>
      <c r="B66" s="5">
        <f>546.074*0.000000001</f>
        <v>5.4607399999999997E-7</v>
      </c>
      <c r="C66" s="5"/>
      <c r="D66" s="5"/>
    </row>
    <row r="67" spans="1:15" x14ac:dyDescent="0.25">
      <c r="A67" s="5"/>
      <c r="B67" s="9" t="s">
        <v>1</v>
      </c>
      <c r="C67" s="9" t="s">
        <v>2</v>
      </c>
      <c r="D67" s="9" t="s">
        <v>3</v>
      </c>
      <c r="E67" s="9"/>
      <c r="F67" s="9" t="s">
        <v>55</v>
      </c>
      <c r="G67" s="9" t="s">
        <v>56</v>
      </c>
      <c r="H67" s="9" t="s">
        <v>57</v>
      </c>
      <c r="I67" s="9"/>
      <c r="J67" s="9"/>
      <c r="K67" s="9"/>
      <c r="L67" s="9"/>
      <c r="M67" s="9" t="s">
        <v>28</v>
      </c>
      <c r="N67" s="9" t="s">
        <v>29</v>
      </c>
      <c r="O67" s="9" t="s">
        <v>30</v>
      </c>
    </row>
    <row r="68" spans="1:15" x14ac:dyDescent="0.25">
      <c r="A68" s="5" t="s">
        <v>17</v>
      </c>
      <c r="B68" s="17">
        <v>111</v>
      </c>
      <c r="C68" s="17">
        <v>24</v>
      </c>
      <c r="D68" s="9">
        <f>RADIANS(B68+C68/60)</f>
        <v>1.9442967867216832</v>
      </c>
      <c r="E68" s="9"/>
      <c r="F68" s="9">
        <f>INT(DEGREES(H68))</f>
        <v>67</v>
      </c>
      <c r="G68" s="9">
        <f>60*(DEGREES(H68)-INT(DEGREES(H68)))</f>
        <v>16.999999999999886</v>
      </c>
      <c r="H68" s="9">
        <f>ABS(D68-$D$7)</f>
        <v>1.1743156983835179</v>
      </c>
      <c r="I68" s="9"/>
      <c r="J68" s="9"/>
      <c r="K68" s="9"/>
      <c r="L68" s="9"/>
      <c r="M68" s="9">
        <f>SIN((H74+$E$3)/2)/SIN($E$3/2)</f>
        <v>1.7930374772723283</v>
      </c>
      <c r="N68" s="9">
        <f>(COS((H74+$E$3)/2)/(2*SIN($E$3/2))*I74)^2+((0.5*COS((H74+$E$3)/2)*SIN($E$3/2)-0.5*COS($E$3/2)*SIN((H74+$E$3)/2))*$E$4/(SIN($E$3/2)^2))^2</f>
        <v>2.3963726854829023E-7</v>
      </c>
      <c r="O68" s="9">
        <f>SQRT(N68)</f>
        <v>4.8952759733062064E-4</v>
      </c>
    </row>
    <row r="69" spans="1:15" s="9" customFormat="1" x14ac:dyDescent="0.25">
      <c r="B69" s="17">
        <v>111</v>
      </c>
      <c r="C69" s="17">
        <v>25.5</v>
      </c>
      <c r="D69" s="9">
        <f t="shared" ref="D69:D73" si="20">RADIANS(B69+C69/60)</f>
        <v>1.9447331190346817</v>
      </c>
      <c r="F69" s="9">
        <f t="shared" ref="F69:F73" si="21">INT(DEGREES(H69))</f>
        <v>67</v>
      </c>
      <c r="G69" s="9">
        <f t="shared" ref="G69:G73" si="22">60*(DEGREES(H69)-INT(DEGREES(H69)))</f>
        <v>15.499999999999545</v>
      </c>
      <c r="H69" s="9">
        <f t="shared" ref="H69:H73" si="23">ABS(D69-$D$7)</f>
        <v>1.1738793660705193</v>
      </c>
    </row>
    <row r="70" spans="1:15" s="9" customFormat="1" x14ac:dyDescent="0.25">
      <c r="B70" s="17">
        <v>111</v>
      </c>
      <c r="C70" s="17">
        <v>25</v>
      </c>
      <c r="D70" s="9">
        <f t="shared" si="20"/>
        <v>1.944587674930349</v>
      </c>
      <c r="F70" s="9">
        <f t="shared" si="21"/>
        <v>67</v>
      </c>
      <c r="G70" s="9">
        <f t="shared" si="22"/>
        <v>15.999999999999091</v>
      </c>
      <c r="H70" s="9">
        <f t="shared" si="23"/>
        <v>1.1740248101748521</v>
      </c>
    </row>
    <row r="71" spans="1:15" s="9" customFormat="1" x14ac:dyDescent="0.25">
      <c r="B71" s="17">
        <v>245</v>
      </c>
      <c r="C71" s="18">
        <v>59</v>
      </c>
      <c r="D71" s="9">
        <f t="shared" si="20"/>
        <v>4.2932190716973846</v>
      </c>
      <c r="F71" s="9">
        <f t="shared" si="21"/>
        <v>67</v>
      </c>
      <c r="G71" s="9">
        <f t="shared" si="22"/>
        <v>17.999999999998977</v>
      </c>
      <c r="H71" s="9">
        <f t="shared" si="23"/>
        <v>1.1746065865921835</v>
      </c>
    </row>
    <row r="72" spans="1:15" s="9" customFormat="1" x14ac:dyDescent="0.25">
      <c r="B72" s="17">
        <v>246</v>
      </c>
      <c r="C72" s="17">
        <v>0</v>
      </c>
      <c r="D72" s="9">
        <f t="shared" si="20"/>
        <v>4.2935099599060509</v>
      </c>
      <c r="F72" s="9">
        <f t="shared" si="21"/>
        <v>67</v>
      </c>
      <c r="G72" s="9">
        <f t="shared" si="22"/>
        <v>19.000000000001478</v>
      </c>
      <c r="H72" s="9">
        <f t="shared" si="23"/>
        <v>1.1748974748008498</v>
      </c>
    </row>
    <row r="73" spans="1:15" s="9" customFormat="1" x14ac:dyDescent="0.25">
      <c r="B73" s="17">
        <v>246</v>
      </c>
      <c r="C73" s="17">
        <v>0</v>
      </c>
      <c r="D73" s="9">
        <f t="shared" si="20"/>
        <v>4.2935099599060509</v>
      </c>
      <c r="F73" s="9">
        <f t="shared" si="21"/>
        <v>67</v>
      </c>
      <c r="G73" s="9">
        <f t="shared" si="22"/>
        <v>19.000000000001478</v>
      </c>
      <c r="H73" s="9">
        <f t="shared" si="23"/>
        <v>1.1748974748008498</v>
      </c>
    </row>
    <row r="74" spans="1:15" x14ac:dyDescent="0.25">
      <c r="B74" s="9"/>
      <c r="C74" s="9"/>
      <c r="D74" s="9"/>
      <c r="E74" s="9"/>
      <c r="F74" s="9"/>
      <c r="G74" s="9"/>
      <c r="H74" s="9">
        <f>AVERAGE(H68:H73)</f>
        <v>1.1744369018037955</v>
      </c>
      <c r="I74" s="9">
        <f>_xlfn.STDEV.P(H68:H73)</f>
        <v>3.9757677922080519E-4</v>
      </c>
      <c r="J74" s="9"/>
      <c r="K74" s="9"/>
      <c r="L74" s="9"/>
      <c r="M74" s="9"/>
      <c r="N74" s="9"/>
      <c r="O74" s="9"/>
    </row>
    <row r="76" spans="1:15" x14ac:dyDescent="0.25">
      <c r="A76" s="5"/>
      <c r="B76" s="5" t="s">
        <v>15</v>
      </c>
      <c r="C76" s="5"/>
      <c r="D76" s="5"/>
    </row>
    <row r="77" spans="1:15" x14ac:dyDescent="0.25">
      <c r="A77" s="5" t="s">
        <v>24</v>
      </c>
      <c r="B77" s="5">
        <f>576.96*0.000000001</f>
        <v>5.7696000000000011E-7</v>
      </c>
      <c r="C77" s="5"/>
      <c r="D77" s="5"/>
    </row>
    <row r="78" spans="1:15" x14ac:dyDescent="0.25">
      <c r="A78" s="5"/>
      <c r="B78" s="9" t="s">
        <v>1</v>
      </c>
      <c r="C78" s="9" t="s">
        <v>2</v>
      </c>
      <c r="D78" s="9" t="s">
        <v>3</v>
      </c>
      <c r="E78" s="9"/>
      <c r="F78" s="9" t="s">
        <v>55</v>
      </c>
      <c r="G78" s="9" t="s">
        <v>56</v>
      </c>
      <c r="H78" s="9" t="s">
        <v>57</v>
      </c>
      <c r="I78" s="9"/>
      <c r="J78" s="9"/>
      <c r="K78" s="9"/>
      <c r="L78" s="9"/>
      <c r="M78" s="9" t="s">
        <v>28</v>
      </c>
      <c r="N78" s="9" t="s">
        <v>29</v>
      </c>
      <c r="O78" s="9" t="s">
        <v>30</v>
      </c>
    </row>
    <row r="79" spans="1:15" x14ac:dyDescent="0.25">
      <c r="A79" s="5" t="s">
        <v>17</v>
      </c>
      <c r="B79" s="21">
        <v>112</v>
      </c>
      <c r="C79" s="21">
        <v>8</v>
      </c>
      <c r="D79" s="9">
        <f>RADIANS(B79+C79/60)</f>
        <v>1.9570958679029751</v>
      </c>
      <c r="E79" s="9"/>
      <c r="F79" s="9">
        <f>INT(DEGREES(H79))</f>
        <v>66</v>
      </c>
      <c r="G79" s="9">
        <f>60*(DEGREES(H79)-INT(DEGREES(H79)))</f>
        <v>32.999999999998977</v>
      </c>
      <c r="H79" s="9">
        <f>ABS(D79-$D$7)</f>
        <v>1.161516617202226</v>
      </c>
      <c r="I79" s="9"/>
      <c r="J79" s="9"/>
      <c r="K79" s="9"/>
      <c r="L79" s="9"/>
      <c r="M79" s="9">
        <f>SIN((H85+$E$3)/2)/SIN($E$3/2)</f>
        <v>1.7874411048540997</v>
      </c>
      <c r="N79" s="9">
        <f>(COS((H85+$E$3)/2)/(2*SIN($E$3/2))*I85)^2+((0.5*COS((H85+$E$3)/2)*SIN($E$3/2)-0.5*COS($E$3/2)*SIN((H85+$E$3)/2))*$E$4/(SIN($E$3/2)^2))^2</f>
        <v>2.3938143084071727E-7</v>
      </c>
      <c r="O79" s="9">
        <f>SQRT(N79)</f>
        <v>4.8926621673759296E-4</v>
      </c>
    </row>
    <row r="80" spans="1:15" s="9" customFormat="1" x14ac:dyDescent="0.25">
      <c r="B80" s="21">
        <v>112</v>
      </c>
      <c r="C80" s="21">
        <v>7.5</v>
      </c>
      <c r="D80" s="9">
        <f t="shared" ref="D80:D84" si="24">RADIANS(B80+C80/60)</f>
        <v>1.9569504237986419</v>
      </c>
      <c r="F80" s="9">
        <f t="shared" ref="F80:F84" si="25">INT(DEGREES(H80))</f>
        <v>66</v>
      </c>
      <c r="G80" s="9">
        <f t="shared" ref="G80:G84" si="26">60*(DEGREES(H80)-INT(DEGREES(H80)))</f>
        <v>33.500000000000227</v>
      </c>
      <c r="H80" s="9">
        <f t="shared" ref="H80:H84" si="27">ABS(D80-$D$7)</f>
        <v>1.1616620613065591</v>
      </c>
    </row>
    <row r="81" spans="1:15" s="9" customFormat="1" x14ac:dyDescent="0.25">
      <c r="B81" s="21">
        <v>112</v>
      </c>
      <c r="C81" s="21">
        <v>8</v>
      </c>
      <c r="D81" s="9">
        <f t="shared" si="24"/>
        <v>1.9570958679029751</v>
      </c>
      <c r="F81" s="9">
        <f t="shared" si="25"/>
        <v>66</v>
      </c>
      <c r="G81" s="9">
        <f t="shared" si="26"/>
        <v>32.999999999998977</v>
      </c>
      <c r="H81" s="9">
        <f t="shared" si="27"/>
        <v>1.161516617202226</v>
      </c>
    </row>
    <row r="82" spans="1:15" s="9" customFormat="1" x14ac:dyDescent="0.25">
      <c r="B82" s="21">
        <v>245</v>
      </c>
      <c r="C82" s="21">
        <v>16</v>
      </c>
      <c r="D82" s="9">
        <f t="shared" si="24"/>
        <v>4.2807108787247588</v>
      </c>
      <c r="F82" s="9">
        <f t="shared" si="25"/>
        <v>66</v>
      </c>
      <c r="G82" s="9">
        <f t="shared" si="26"/>
        <v>34.999999999999716</v>
      </c>
      <c r="H82" s="9">
        <f t="shared" si="27"/>
        <v>1.1620983936195577</v>
      </c>
    </row>
    <row r="83" spans="1:15" s="9" customFormat="1" x14ac:dyDescent="0.25">
      <c r="B83" s="21">
        <v>245</v>
      </c>
      <c r="C83" s="21">
        <v>16</v>
      </c>
      <c r="D83" s="9">
        <f t="shared" si="24"/>
        <v>4.2807108787247588</v>
      </c>
      <c r="F83" s="9">
        <f t="shared" si="25"/>
        <v>66</v>
      </c>
      <c r="G83" s="9">
        <f t="shared" si="26"/>
        <v>34.999999999999716</v>
      </c>
      <c r="H83" s="9">
        <f t="shared" si="27"/>
        <v>1.1620983936195577</v>
      </c>
    </row>
    <row r="84" spans="1:15" s="9" customFormat="1" x14ac:dyDescent="0.25">
      <c r="B84" s="21">
        <v>245</v>
      </c>
      <c r="C84" s="21">
        <v>18</v>
      </c>
      <c r="D84" s="9">
        <f t="shared" si="24"/>
        <v>4.2812926551420905</v>
      </c>
      <c r="F84" s="9">
        <f t="shared" si="25"/>
        <v>66</v>
      </c>
      <c r="G84" s="9">
        <f t="shared" si="26"/>
        <v>37.000000000000455</v>
      </c>
      <c r="H84" s="9">
        <f t="shared" si="27"/>
        <v>1.1626801700368894</v>
      </c>
    </row>
    <row r="85" spans="1:15" x14ac:dyDescent="0.25">
      <c r="B85" s="9"/>
      <c r="C85" s="9"/>
      <c r="D85" s="9"/>
      <c r="E85" s="9"/>
      <c r="F85" s="9"/>
      <c r="G85" s="9"/>
      <c r="H85" s="9">
        <f>AVERAGE(H79:H84)</f>
        <v>1.1619287088311692</v>
      </c>
      <c r="I85" s="9">
        <f>_xlfn.STDEV.P(H79:H84)</f>
        <v>4.149336738552634E-4</v>
      </c>
      <c r="J85" s="9"/>
      <c r="K85" s="9"/>
      <c r="L85" s="9"/>
      <c r="M85" s="9"/>
      <c r="N85" s="9"/>
      <c r="O85" s="9"/>
    </row>
    <row r="86" spans="1:15" x14ac:dyDescent="0.25">
      <c r="G86" s="5"/>
    </row>
    <row r="87" spans="1:15" x14ac:dyDescent="0.25">
      <c r="A87" s="5"/>
      <c r="B87" s="5" t="s">
        <v>15</v>
      </c>
      <c r="C87" s="5"/>
      <c r="D87" s="5"/>
      <c r="G87" s="5"/>
    </row>
    <row r="88" spans="1:15" x14ac:dyDescent="0.25">
      <c r="A88" s="5" t="s">
        <v>25</v>
      </c>
      <c r="B88" s="5">
        <f>578.966*0.000000001</f>
        <v>5.78966E-7</v>
      </c>
      <c r="C88" s="5"/>
      <c r="D88" s="5"/>
    </row>
    <row r="89" spans="1:15" x14ac:dyDescent="0.25">
      <c r="A89" s="5"/>
      <c r="B89" s="9" t="s">
        <v>1</v>
      </c>
      <c r="C89" s="9" t="s">
        <v>2</v>
      </c>
      <c r="D89" s="9" t="s">
        <v>3</v>
      </c>
      <c r="E89" s="9"/>
      <c r="F89" s="9" t="s">
        <v>55</v>
      </c>
      <c r="G89" s="9" t="s">
        <v>56</v>
      </c>
      <c r="H89" s="9" t="s">
        <v>57</v>
      </c>
      <c r="I89" s="9"/>
      <c r="J89" s="9"/>
      <c r="K89" s="9"/>
      <c r="L89" s="9"/>
      <c r="M89" s="9" t="s">
        <v>28</v>
      </c>
      <c r="N89" s="9" t="s">
        <v>29</v>
      </c>
      <c r="O89" s="9" t="s">
        <v>30</v>
      </c>
    </row>
    <row r="90" spans="1:15" x14ac:dyDescent="0.25">
      <c r="A90" s="5" t="s">
        <v>17</v>
      </c>
      <c r="B90" s="19">
        <v>112</v>
      </c>
      <c r="C90" s="19">
        <v>12</v>
      </c>
      <c r="D90" s="9">
        <f>RADIANS(B90+C90/60)</f>
        <v>1.9582594207376378</v>
      </c>
      <c r="E90" s="9"/>
      <c r="F90" s="9">
        <f>INT(DEGREES(H90))</f>
        <v>66</v>
      </c>
      <c r="G90" s="9">
        <f>60*(DEGREES(H90)-INT(DEGREES(H90)))</f>
        <v>28.999999999999204</v>
      </c>
      <c r="H90" s="9">
        <f>ABS(D90-$D$7)</f>
        <v>1.1603530643675632</v>
      </c>
      <c r="I90" s="9"/>
      <c r="J90" s="9"/>
      <c r="K90" s="9"/>
      <c r="L90" s="9"/>
      <c r="M90" s="9">
        <f>SIN((H96+$E$3)/2)/SIN($E$3/2)</f>
        <v>1.7869606567205927</v>
      </c>
      <c r="N90" s="9">
        <f>(COS((H96+$E$3)/2)/(2*SIN($E$3/2))*I96)^2+((0.5*COS((H96+$E$3)/2)*SIN($E$3/2)-0.5*COS($E$3/2)*SIN((H96+$E$3)/2))*$E$4/(SIN($E$3/2)^2))^2</f>
        <v>2.2957469232441585E-7</v>
      </c>
      <c r="O90" s="9">
        <f>SQRT(N90)</f>
        <v>4.7913953325144843E-4</v>
      </c>
    </row>
    <row r="91" spans="1:15" s="9" customFormat="1" x14ac:dyDescent="0.25">
      <c r="B91" s="19">
        <v>112</v>
      </c>
      <c r="C91" s="19">
        <v>11</v>
      </c>
      <c r="D91" s="9">
        <f t="shared" ref="D91:D95" si="28">RADIANS(B91+C91/60)</f>
        <v>1.9579685325289722</v>
      </c>
      <c r="F91" s="9">
        <f t="shared" ref="F91:F95" si="29">INT(DEGREES(H91))</f>
        <v>66</v>
      </c>
      <c r="G91" s="9">
        <f t="shared" ref="G91:G95" si="30">60*(DEGREES(H91)-INT(DEGREES(H91)))</f>
        <v>29.999999999999147</v>
      </c>
      <c r="H91" s="9">
        <f t="shared" ref="H91:H95" si="31">ABS(D91-$D$7)</f>
        <v>1.1606439525762289</v>
      </c>
    </row>
    <row r="92" spans="1:15" s="9" customFormat="1" x14ac:dyDescent="0.25">
      <c r="B92" s="19">
        <v>112</v>
      </c>
      <c r="C92" s="19">
        <v>11</v>
      </c>
      <c r="D92" s="9">
        <f t="shared" si="28"/>
        <v>1.9579685325289722</v>
      </c>
      <c r="F92" s="9">
        <f t="shared" si="29"/>
        <v>66</v>
      </c>
      <c r="G92" s="9">
        <f t="shared" si="30"/>
        <v>29.999999999999147</v>
      </c>
      <c r="H92" s="9">
        <f t="shared" si="31"/>
        <v>1.1606439525762289</v>
      </c>
    </row>
    <row r="93" spans="1:15" s="9" customFormat="1" x14ac:dyDescent="0.25">
      <c r="B93" s="19">
        <v>245</v>
      </c>
      <c r="C93" s="19">
        <v>13.5</v>
      </c>
      <c r="D93" s="9">
        <f t="shared" si="28"/>
        <v>4.2799836582030943</v>
      </c>
      <c r="F93" s="9">
        <f t="shared" si="29"/>
        <v>66</v>
      </c>
      <c r="G93" s="9">
        <f t="shared" si="30"/>
        <v>32.499999999999432</v>
      </c>
      <c r="H93" s="9">
        <f t="shared" si="31"/>
        <v>1.1613711730978933</v>
      </c>
    </row>
    <row r="94" spans="1:15" s="9" customFormat="1" x14ac:dyDescent="0.25">
      <c r="B94" s="19">
        <v>245</v>
      </c>
      <c r="C94" s="19">
        <v>13</v>
      </c>
      <c r="D94" s="9">
        <f t="shared" si="28"/>
        <v>4.2798382140987616</v>
      </c>
      <c r="F94" s="9">
        <f t="shared" si="29"/>
        <v>66</v>
      </c>
      <c r="G94" s="9">
        <f t="shared" si="30"/>
        <v>31.999999999999886</v>
      </c>
      <c r="H94" s="9">
        <f t="shared" si="31"/>
        <v>1.1612257289935606</v>
      </c>
    </row>
    <row r="95" spans="1:15" s="9" customFormat="1" x14ac:dyDescent="0.25">
      <c r="B95" s="19">
        <v>245</v>
      </c>
      <c r="C95" s="19">
        <v>12</v>
      </c>
      <c r="D95" s="9">
        <f t="shared" si="28"/>
        <v>4.2795473258900962</v>
      </c>
      <c r="F95" s="9">
        <f t="shared" si="29"/>
        <v>66</v>
      </c>
      <c r="G95" s="9">
        <f t="shared" si="30"/>
        <v>31.000000000000796</v>
      </c>
      <c r="H95" s="9">
        <f t="shared" si="31"/>
        <v>1.1609348407848952</v>
      </c>
    </row>
    <row r="96" spans="1:15" x14ac:dyDescent="0.25">
      <c r="B96" s="9"/>
      <c r="C96" s="9"/>
      <c r="D96" s="9"/>
      <c r="E96" s="9"/>
      <c r="F96" s="9"/>
      <c r="G96" s="9"/>
      <c r="H96" s="9">
        <f>AVERAGE(H90:H95)</f>
        <v>1.1608621187327284</v>
      </c>
      <c r="I96" s="9">
        <f>_xlfn.STDEV.P(H90:H95)</f>
        <v>3.5378113660954768E-4</v>
      </c>
      <c r="J96" s="9"/>
      <c r="K96" s="9"/>
      <c r="L96" s="9"/>
      <c r="M96" s="9"/>
      <c r="N96" s="9"/>
      <c r="O96" s="9"/>
    </row>
    <row r="98" spans="1:15" x14ac:dyDescent="0.25">
      <c r="A98" s="5"/>
      <c r="B98" s="5" t="s">
        <v>15</v>
      </c>
      <c r="C98" s="5"/>
      <c r="D98" s="5"/>
    </row>
    <row r="99" spans="1:15" x14ac:dyDescent="0.25">
      <c r="A99" s="5" t="s">
        <v>26</v>
      </c>
      <c r="B99" s="5">
        <f>623.44*0.000000001</f>
        <v>6.2344000000000008E-7</v>
      </c>
      <c r="C99" s="5"/>
      <c r="D99" s="5"/>
    </row>
    <row r="100" spans="1:15" x14ac:dyDescent="0.25">
      <c r="A100" s="5"/>
      <c r="B100" s="9" t="s">
        <v>1</v>
      </c>
      <c r="C100" s="9" t="s">
        <v>2</v>
      </c>
      <c r="D100" s="9" t="s">
        <v>3</v>
      </c>
      <c r="E100" s="9"/>
      <c r="F100" s="9" t="s">
        <v>55</v>
      </c>
      <c r="G100" s="9" t="s">
        <v>56</v>
      </c>
      <c r="H100" s="9" t="s">
        <v>57</v>
      </c>
      <c r="I100" s="9"/>
      <c r="J100" s="9"/>
      <c r="K100" s="9"/>
      <c r="L100" s="9"/>
      <c r="M100" s="9" t="s">
        <v>28</v>
      </c>
      <c r="N100" s="9" t="s">
        <v>29</v>
      </c>
      <c r="O100" s="9" t="s">
        <v>30</v>
      </c>
    </row>
    <row r="101" spans="1:15" x14ac:dyDescent="0.25">
      <c r="A101" s="5" t="s">
        <v>17</v>
      </c>
      <c r="B101" s="20">
        <v>113</v>
      </c>
      <c r="C101" s="20">
        <v>56</v>
      </c>
      <c r="D101" s="9">
        <f>RADIANS(B101+C101/60)</f>
        <v>1.9885117944388728</v>
      </c>
      <c r="E101" s="9"/>
      <c r="F101" s="9">
        <f>INT(DEGREES(H101))</f>
        <v>64</v>
      </c>
      <c r="G101" s="9">
        <f>60*(DEGREES(H101)-INT(DEGREES(H101)))</f>
        <v>44.999999999999147</v>
      </c>
      <c r="H101" s="9">
        <f>ABS(D101-$D$7)</f>
        <v>1.1301006906663282</v>
      </c>
      <c r="I101" s="9"/>
      <c r="J101" s="9"/>
      <c r="K101" s="9"/>
      <c r="L101" s="9"/>
      <c r="M101" s="9">
        <f>SIN((H107+$E$3)/2)/SIN($E$3/2)</f>
        <v>1.7729534863108829</v>
      </c>
      <c r="N101" s="9">
        <f>(COS((H107+$E$3)/2)/(2*SIN($E$3/2))*I107)^2+((0.5*COS((H107+$E$3)/2)*SIN($E$3/2)-0.5*COS($E$3/2)*SIN((H107+$E$3)/2))*$E$4/(SIN($E$3/2)^2))^2</f>
        <v>2.6765436299055128E-7</v>
      </c>
      <c r="O101" s="9">
        <f>SQRT(N101)</f>
        <v>5.1735322845281571E-4</v>
      </c>
    </row>
    <row r="102" spans="1:15" x14ac:dyDescent="0.25">
      <c r="B102" s="20">
        <v>113</v>
      </c>
      <c r="C102" s="20">
        <v>55.5</v>
      </c>
      <c r="D102" s="9">
        <f t="shared" ref="D102:D106" si="32">RADIANS(B102+C102/60)</f>
        <v>1.9883663503345399</v>
      </c>
      <c r="E102" s="9"/>
      <c r="F102" s="9">
        <f t="shared" ref="F102:F106" si="33">INT(DEGREES(H102))</f>
        <v>64</v>
      </c>
      <c r="G102" s="9">
        <f t="shared" ref="G102:G106" si="34">60*(DEGREES(H102)-INT(DEGREES(H102)))</f>
        <v>45.499999999999545</v>
      </c>
      <c r="H102" s="9">
        <f t="shared" ref="H102:H106" si="35">ABS(D102-$D$7)</f>
        <v>1.1302461347706612</v>
      </c>
      <c r="I102" s="9"/>
      <c r="J102" s="9"/>
      <c r="K102" s="9"/>
      <c r="L102" s="9"/>
      <c r="M102" s="9"/>
      <c r="N102" s="9"/>
      <c r="O102" s="9"/>
    </row>
    <row r="103" spans="1:15" x14ac:dyDescent="0.25">
      <c r="B103" s="20">
        <v>113</v>
      </c>
      <c r="C103" s="20">
        <v>58.5</v>
      </c>
      <c r="D103" s="9">
        <f t="shared" si="32"/>
        <v>1.989239014960537</v>
      </c>
      <c r="E103" s="9"/>
      <c r="F103" s="9">
        <f t="shared" si="33"/>
        <v>64</v>
      </c>
      <c r="G103" s="9">
        <f t="shared" si="34"/>
        <v>42.499999999999716</v>
      </c>
      <c r="H103" s="9">
        <f t="shared" si="35"/>
        <v>1.129373470144664</v>
      </c>
      <c r="I103" s="9"/>
      <c r="J103" s="9"/>
      <c r="K103" s="9"/>
      <c r="L103" s="9"/>
      <c r="M103" s="9"/>
      <c r="N103" s="9"/>
      <c r="O103" s="9"/>
    </row>
    <row r="104" spans="1:15" x14ac:dyDescent="0.25">
      <c r="B104" s="20">
        <v>243</v>
      </c>
      <c r="C104" s="20">
        <v>25</v>
      </c>
      <c r="D104" s="9">
        <f t="shared" si="32"/>
        <v>4.2484222875628639</v>
      </c>
      <c r="E104" s="9"/>
      <c r="F104" s="9">
        <f t="shared" si="33"/>
        <v>64</v>
      </c>
      <c r="G104" s="9">
        <f t="shared" si="34"/>
        <v>44.000000000000909</v>
      </c>
      <c r="H104" s="9">
        <f t="shared" si="35"/>
        <v>1.1298098024576628</v>
      </c>
      <c r="I104" s="9"/>
      <c r="J104" s="9"/>
      <c r="K104" s="9"/>
      <c r="L104" s="9"/>
      <c r="M104" s="9"/>
      <c r="N104" s="9"/>
      <c r="O104" s="9"/>
    </row>
    <row r="105" spans="1:15" x14ac:dyDescent="0.25">
      <c r="B105" s="20">
        <v>243</v>
      </c>
      <c r="C105" s="20">
        <v>29</v>
      </c>
      <c r="D105" s="9">
        <f t="shared" si="32"/>
        <v>4.2495858403975264</v>
      </c>
      <c r="E105" s="9"/>
      <c r="F105" s="9">
        <f t="shared" si="33"/>
        <v>64</v>
      </c>
      <c r="G105" s="9">
        <f t="shared" si="34"/>
        <v>47.999999999998977</v>
      </c>
      <c r="H105" s="9">
        <f t="shared" si="35"/>
        <v>1.1309733552923253</v>
      </c>
      <c r="I105" s="9"/>
      <c r="J105" s="9"/>
      <c r="K105" s="9"/>
      <c r="L105" s="9"/>
      <c r="M105" s="9"/>
      <c r="N105" s="9"/>
      <c r="O105" s="9"/>
    </row>
    <row r="106" spans="1:15" x14ac:dyDescent="0.25">
      <c r="B106" s="20">
        <v>243</v>
      </c>
      <c r="C106" s="20">
        <v>29</v>
      </c>
      <c r="D106" s="9">
        <f t="shared" si="32"/>
        <v>4.2495858403975264</v>
      </c>
      <c r="E106" s="9"/>
      <c r="F106" s="9">
        <f t="shared" si="33"/>
        <v>64</v>
      </c>
      <c r="G106" s="9">
        <f t="shared" si="34"/>
        <v>47.999999999998977</v>
      </c>
      <c r="H106" s="9">
        <f t="shared" si="35"/>
        <v>1.1309733552923253</v>
      </c>
      <c r="I106" s="9"/>
      <c r="J106" s="9"/>
      <c r="K106" s="9"/>
      <c r="L106" s="9"/>
      <c r="M106" s="9"/>
      <c r="N106" s="9"/>
      <c r="O106" s="9"/>
    </row>
    <row r="107" spans="1:15" x14ac:dyDescent="0.25">
      <c r="B107" s="9"/>
      <c r="C107" s="9"/>
      <c r="D107" s="9"/>
      <c r="E107" s="9"/>
      <c r="F107" s="9"/>
      <c r="G107" s="9"/>
      <c r="H107" s="9">
        <f>AVERAGE(H101:H106)</f>
        <v>1.1302461347706612</v>
      </c>
      <c r="I107" s="9">
        <f>_xlfn.STDEV.P(H101:H106)</f>
        <v>5.8177641733135144E-4</v>
      </c>
      <c r="J107" s="9"/>
      <c r="K107" s="9"/>
      <c r="L107" s="9"/>
      <c r="M107" s="9"/>
      <c r="N107" s="9"/>
      <c r="O10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zoomScale="145" zoomScaleNormal="145" workbookViewId="0">
      <selection activeCell="C8" sqref="C8"/>
    </sheetView>
  </sheetViews>
  <sheetFormatPr defaultRowHeight="15" x14ac:dyDescent="0.25"/>
  <cols>
    <col min="1" max="1" width="13.85546875" bestFit="1" customWidth="1"/>
    <col min="4" max="4" width="9.42578125" bestFit="1" customWidth="1"/>
    <col min="5" max="5" width="12" bestFit="1" customWidth="1"/>
  </cols>
  <sheetData>
    <row r="1" spans="1:13" x14ac:dyDescent="0.25">
      <c r="A1" t="s">
        <v>31</v>
      </c>
    </row>
    <row r="4" spans="1:13" x14ac:dyDescent="0.25">
      <c r="A4" s="5"/>
      <c r="B4" s="5"/>
      <c r="C4" s="5"/>
      <c r="D4" s="5" t="s">
        <v>36</v>
      </c>
      <c r="E4" t="s">
        <v>37</v>
      </c>
      <c r="F4" t="s">
        <v>38</v>
      </c>
      <c r="G4" t="s">
        <v>36</v>
      </c>
      <c r="H4" t="s">
        <v>40</v>
      </c>
      <c r="I4" t="s">
        <v>39</v>
      </c>
      <c r="J4" t="s">
        <v>41</v>
      </c>
      <c r="K4" t="s">
        <v>42</v>
      </c>
      <c r="L4" t="s">
        <v>48</v>
      </c>
      <c r="M4" t="s">
        <v>49</v>
      </c>
    </row>
    <row r="5" spans="1:13" x14ac:dyDescent="0.25">
      <c r="A5" s="5"/>
      <c r="B5" s="5" t="s">
        <v>15</v>
      </c>
      <c r="C5" s="5" t="s">
        <v>32</v>
      </c>
      <c r="D5" s="5" t="s">
        <v>33</v>
      </c>
      <c r="E5" t="s">
        <v>34</v>
      </c>
      <c r="F5" t="s">
        <v>35</v>
      </c>
    </row>
    <row r="6" spans="1:13" x14ac:dyDescent="0.25">
      <c r="A6" s="5" t="s">
        <v>14</v>
      </c>
      <c r="B6" s="5">
        <f>404.656*0.000000001</f>
        <v>4.0465600000000002E-7</v>
      </c>
      <c r="C6" s="5">
        <f>n!M13</f>
        <v>1.8433563805323061</v>
      </c>
      <c r="D6" s="5">
        <f>n!O13</f>
        <v>5.2264967905568324E-4</v>
      </c>
      <c r="E6">
        <f>B6^-2</f>
        <v>6107001568290.5088</v>
      </c>
      <c r="F6">
        <f>C6^-2</f>
        <v>0.29429398579499583</v>
      </c>
      <c r="G6">
        <f>D6^2</f>
        <v>2.7316268701700868E-7</v>
      </c>
      <c r="H6">
        <f>G6*E6</f>
        <v>1668204.9580113215</v>
      </c>
      <c r="I6">
        <f>G6*E6^2</f>
        <v>1.0187730294805142E+19</v>
      </c>
      <c r="J6">
        <f>G6*F6</f>
        <v>8.0390135932706446E-8</v>
      </c>
      <c r="K6">
        <f>G6*E6*F6</f>
        <v>490942.68621612544</v>
      </c>
      <c r="L6">
        <f>(G6*$I$14-H6*$H$14)^2*1/G6^2</f>
        <v>1.4983928781634702E+38</v>
      </c>
      <c r="M6">
        <f>(H6*$G$14-G6*$H$14)^2*1/G6^2</f>
        <v>14268943103856.348</v>
      </c>
    </row>
    <row r="7" spans="1:13" x14ac:dyDescent="0.25">
      <c r="A7" s="5" t="s">
        <v>19</v>
      </c>
      <c r="B7" s="5">
        <f>407.783*0.000000001</f>
        <v>4.0778300000000005E-7</v>
      </c>
      <c r="C7" s="5">
        <f>n!M24</f>
        <v>1.841280591554028</v>
      </c>
      <c r="D7" s="5">
        <f>n!O24</f>
        <v>5.0679645330482218E-4</v>
      </c>
      <c r="E7" s="5">
        <f t="shared" ref="E7:E13" si="0">B7^-2</f>
        <v>6013700107689.0146</v>
      </c>
      <c r="F7" s="5">
        <f t="shared" ref="F7:F13" si="1">D7^-2</f>
        <v>3893434.4399053673</v>
      </c>
      <c r="G7" s="5">
        <f t="shared" ref="G7:G13" si="2">D7^2</f>
        <v>2.5684264508234682E-7</v>
      </c>
      <c r="H7" s="5">
        <f t="shared" ref="H7:H13" si="3">G7*E7</f>
        <v>1544574.6423908405</v>
      </c>
      <c r="I7" s="5">
        <f t="shared" ref="I7:I13" si="4">G7*E7^2</f>
        <v>9.2886086932795187E+18</v>
      </c>
      <c r="J7" s="5">
        <f t="shared" ref="J7:J13" si="5">G7*F7</f>
        <v>1</v>
      </c>
      <c r="K7" s="5">
        <f t="shared" ref="K7:K13" si="6">G7*E7*F7</f>
        <v>6013700107689.0146</v>
      </c>
      <c r="L7" s="5">
        <f>(G7*$I$14-H7*$H$14)^2*1/G7^2</f>
        <v>1.3123563194192401E+38</v>
      </c>
      <c r="M7" s="5">
        <f>(H7*$G$14-G7*$H$14)^2*1/G7^2</f>
        <v>12896442354047.979</v>
      </c>
    </row>
    <row r="8" spans="1:13" x14ac:dyDescent="0.25">
      <c r="A8" s="5" t="s">
        <v>20</v>
      </c>
      <c r="B8" s="5">
        <f>0.000000435833</f>
        <v>4.3583299999999998E-7</v>
      </c>
      <c r="C8" s="5">
        <f>n!M35</f>
        <v>1.8263380485735974</v>
      </c>
      <c r="D8" s="5">
        <f>n!O35</f>
        <v>4.9616239760927241E-4</v>
      </c>
      <c r="E8" s="5">
        <f t="shared" si="0"/>
        <v>5264532106940.7314</v>
      </c>
      <c r="F8" s="5">
        <f t="shared" si="1"/>
        <v>4062115.8477125377</v>
      </c>
      <c r="G8" s="5">
        <f t="shared" si="2"/>
        <v>2.4617712480138173E-7</v>
      </c>
      <c r="H8" s="5">
        <f t="shared" si="3"/>
        <v>1296007.3775112296</v>
      </c>
      <c r="I8" s="5">
        <f t="shared" si="4"/>
        <v>6.8228724497399255E+18</v>
      </c>
      <c r="J8" s="5">
        <f t="shared" si="5"/>
        <v>1</v>
      </c>
      <c r="K8" s="5">
        <f t="shared" si="6"/>
        <v>5264532106940.7314</v>
      </c>
      <c r="L8" s="5">
        <f>(G8*$I$14-H8*$H$14)^2*1/G8^2</f>
        <v>2.6543406643511064E+37</v>
      </c>
      <c r="M8" s="5">
        <f>(H8*$G$14-G8*$H$14)^2*1/G8^2</f>
        <v>4391325644443.2949</v>
      </c>
    </row>
    <row r="9" spans="1:13" x14ac:dyDescent="0.25">
      <c r="A9" s="5" t="s">
        <v>21</v>
      </c>
      <c r="B9" s="5">
        <f>491.607*0.000000001</f>
        <v>4.9160700000000007E-7</v>
      </c>
      <c r="C9" s="5">
        <f>n!M46</f>
        <v>1.8059794332799115</v>
      </c>
      <c r="D9" s="5">
        <f>n!O46</f>
        <v>4.9389743509736697E-4</v>
      </c>
      <c r="E9" s="5">
        <f t="shared" si="0"/>
        <v>4137746534664.793</v>
      </c>
      <c r="F9" s="5">
        <f t="shared" si="1"/>
        <v>4099458.1614038642</v>
      </c>
      <c r="G9" s="5">
        <f t="shared" si="2"/>
        <v>2.4393467639575784E-7</v>
      </c>
      <c r="H9" s="5">
        <f t="shared" si="3"/>
        <v>1009339.8619411247</v>
      </c>
      <c r="I9" s="5">
        <f t="shared" si="4"/>
        <v>4.176392516045929E+18</v>
      </c>
      <c r="J9" s="5">
        <f t="shared" si="5"/>
        <v>1</v>
      </c>
      <c r="K9" s="5">
        <f t="shared" si="6"/>
        <v>4137746534664.793</v>
      </c>
      <c r="L9" s="5">
        <f>(G9*$I$14-H9*$H$14)^2*1/G9^2</f>
        <v>1.8741716406008508E+37</v>
      </c>
      <c r="M9" s="5">
        <f>(H9*$G$14-G9*$H$14)^2*1/G9^2</f>
        <v>23693258087.863232</v>
      </c>
    </row>
    <row r="10" spans="1:13" x14ac:dyDescent="0.25">
      <c r="A10" s="5" t="s">
        <v>23</v>
      </c>
      <c r="B10" s="5">
        <f>546.074*0.000000001</f>
        <v>5.4607399999999997E-7</v>
      </c>
      <c r="C10" s="5">
        <f>n!M68</f>
        <v>1.7930374772723283</v>
      </c>
      <c r="D10" s="5">
        <f>n!O68</f>
        <v>4.8952759733062064E-4</v>
      </c>
      <c r="E10" s="5">
        <f t="shared" si="0"/>
        <v>3353489892609.0767</v>
      </c>
      <c r="F10" s="5">
        <f t="shared" si="1"/>
        <v>4172973.6199129056</v>
      </c>
      <c r="G10" s="5">
        <f t="shared" si="2"/>
        <v>2.3963726854829029E-7</v>
      </c>
      <c r="H10" s="5">
        <f t="shared" si="3"/>
        <v>803621.15796913847</v>
      </c>
      <c r="I10" s="5">
        <f t="shared" si="4"/>
        <v>2.6949354307363082E+18</v>
      </c>
      <c r="J10" s="5">
        <f t="shared" si="5"/>
        <v>1</v>
      </c>
      <c r="K10" s="5">
        <f t="shared" si="6"/>
        <v>3353489892609.0767</v>
      </c>
      <c r="L10" s="5">
        <f>(G10*$I$14-H10*$H$14)^2*1/G10^2</f>
        <v>1.1942560495337309E+38</v>
      </c>
      <c r="M10" s="5">
        <f>(H10*$G$14-G10*$H$14)^2*1/G10^2</f>
        <v>2956984844208.9995</v>
      </c>
    </row>
    <row r="11" spans="1:13" x14ac:dyDescent="0.25">
      <c r="A11" s="5" t="s">
        <v>24</v>
      </c>
      <c r="B11" s="5">
        <f>576.96*0.000000001</f>
        <v>5.7696000000000011E-7</v>
      </c>
      <c r="C11" s="5">
        <f>n!M79</f>
        <v>1.7874411048540997</v>
      </c>
      <c r="D11" s="5">
        <f>n!O79</f>
        <v>4.8926621673759296E-4</v>
      </c>
      <c r="E11" s="5">
        <f t="shared" si="0"/>
        <v>3004059912471.0176</v>
      </c>
      <c r="F11" s="5">
        <f t="shared" si="1"/>
        <v>4177433.4646090115</v>
      </c>
      <c r="G11" s="5">
        <f t="shared" si="2"/>
        <v>2.3938143084071727E-7</v>
      </c>
      <c r="H11" s="5">
        <f t="shared" si="3"/>
        <v>719116.16017855203</v>
      </c>
      <c r="I11" s="5">
        <f t="shared" si="4"/>
        <v>2.1602680292024753E+18</v>
      </c>
      <c r="J11" s="5">
        <f t="shared" si="5"/>
        <v>1</v>
      </c>
      <c r="K11" s="5">
        <f t="shared" si="6"/>
        <v>3004059912471.0176</v>
      </c>
      <c r="L11" s="5">
        <f>(G11*$I$14-H11*$H$14)^2*1/G11^2</f>
        <v>1.9233357884758575E+38</v>
      </c>
      <c r="M11" s="5">
        <f>(H11*$G$14-G11*$H$14)^2*1/G11^2</f>
        <v>5842750989377.0771</v>
      </c>
    </row>
    <row r="12" spans="1:13" x14ac:dyDescent="0.25">
      <c r="A12" s="5" t="s">
        <v>25</v>
      </c>
      <c r="B12" s="5">
        <f>578.966*0.000000001</f>
        <v>5.78966E-7</v>
      </c>
      <c r="C12" s="5">
        <f>n!M90</f>
        <v>1.7869606567205927</v>
      </c>
      <c r="D12" s="5">
        <f>n!O90</f>
        <v>4.7913953325144843E-4</v>
      </c>
      <c r="E12" s="5">
        <f t="shared" si="0"/>
        <v>2983279056602.104</v>
      </c>
      <c r="F12" s="5">
        <f t="shared" si="1"/>
        <v>4355880.824123607</v>
      </c>
      <c r="G12" s="5">
        <f t="shared" si="2"/>
        <v>2.2957469232441585E-7</v>
      </c>
      <c r="H12" s="5">
        <f t="shared" si="3"/>
        <v>684885.37153730157</v>
      </c>
      <c r="I12" s="5">
        <f t="shared" si="4"/>
        <v>2.0432041850803827E+18</v>
      </c>
      <c r="J12" s="5">
        <f t="shared" si="5"/>
        <v>1</v>
      </c>
      <c r="K12" s="5">
        <f t="shared" si="6"/>
        <v>2983279056602.104</v>
      </c>
      <c r="L12" s="5">
        <f>(G12*$I$14-H12*$H$14)^2*1/G12^2</f>
        <v>1.9721416827365314E+38</v>
      </c>
      <c r="M12" s="5">
        <f>(H12*$G$14-G12*$H$14)^2*1/G12^2</f>
        <v>6045031037291.0391</v>
      </c>
    </row>
    <row r="13" spans="1:13" x14ac:dyDescent="0.25">
      <c r="A13" s="5" t="s">
        <v>26</v>
      </c>
      <c r="B13" s="5">
        <f>623.44*0.000000001</f>
        <v>6.2344000000000008E-7</v>
      </c>
      <c r="C13" s="5">
        <f>n!M101</f>
        <v>1.7729534863108829</v>
      </c>
      <c r="D13" s="5">
        <f>n!O101</f>
        <v>5.1735322845281571E-4</v>
      </c>
      <c r="E13" s="5">
        <f t="shared" si="0"/>
        <v>2572827526254.4072</v>
      </c>
      <c r="F13" s="5">
        <f t="shared" si="1"/>
        <v>3736161.7753090831</v>
      </c>
      <c r="G13" s="5">
        <f t="shared" si="2"/>
        <v>2.6765436299055134E-7</v>
      </c>
      <c r="H13" s="5">
        <f t="shared" si="3"/>
        <v>688628.51262417936</v>
      </c>
      <c r="I13" s="5">
        <f t="shared" si="4"/>
        <v>1.7717223926431194E+18</v>
      </c>
      <c r="J13" s="5">
        <f t="shared" si="5"/>
        <v>1</v>
      </c>
      <c r="K13" s="5">
        <f t="shared" si="6"/>
        <v>2572827526254.4072</v>
      </c>
      <c r="L13" s="5">
        <f>(G13*$I$14-H13*$H$14)^2*1/G13^2</f>
        <v>3.0614467824881797E+38</v>
      </c>
      <c r="M13" s="5">
        <f>(H13*$G$14-G13*$H$14)^2*1/G13^2</f>
        <v>10745779022173.605</v>
      </c>
    </row>
    <row r="14" spans="1:13" x14ac:dyDescent="0.25">
      <c r="A14" s="5"/>
      <c r="B14" s="5"/>
      <c r="C14" s="5"/>
      <c r="D14" s="5"/>
      <c r="F14" s="1" t="s">
        <v>43</v>
      </c>
      <c r="G14" s="2">
        <f>SUM(G6:G13)</f>
        <v>1.9963648880004699E-6</v>
      </c>
      <c r="H14" s="2">
        <f>SUM(H6:H13)</f>
        <v>8414378.0421636887</v>
      </c>
      <c r="I14" s="2">
        <f>SUM(I6:I13)</f>
        <v>3.9145733991532798E+19</v>
      </c>
      <c r="J14" s="2">
        <f>SUM(J6:J13)</f>
        <v>7.0000000803901354</v>
      </c>
      <c r="K14" s="2">
        <f>SUM(K6:K13)</f>
        <v>27329635628173.832</v>
      </c>
      <c r="L14" s="2">
        <f>SUM(L6:L13)</f>
        <v>1.1414780731312206E+39</v>
      </c>
      <c r="M14" s="2">
        <f>SUM(M6:M13)</f>
        <v>57170950253486.203</v>
      </c>
    </row>
    <row r="15" spans="1:13" x14ac:dyDescent="0.25">
      <c r="A15" s="5"/>
      <c r="B15" s="5"/>
      <c r="C15" s="5"/>
      <c r="D15" s="5"/>
    </row>
    <row r="16" spans="1:13" x14ac:dyDescent="0.25">
      <c r="A16" s="5"/>
      <c r="B16" s="5"/>
      <c r="C16" s="5"/>
      <c r="D16" s="5"/>
    </row>
    <row r="17" spans="1:4" x14ac:dyDescent="0.25">
      <c r="B17" t="s">
        <v>44</v>
      </c>
      <c r="C17" s="5">
        <f>G14*I14-H14^2</f>
        <v>7347411019256.125</v>
      </c>
      <c r="D17" s="5"/>
    </row>
    <row r="18" spans="1:4" x14ac:dyDescent="0.25">
      <c r="A18" s="5"/>
      <c r="B18" s="5"/>
      <c r="C18" s="5" t="s">
        <v>45</v>
      </c>
      <c r="D18" s="5" t="s">
        <v>6</v>
      </c>
    </row>
    <row r="19" spans="1:4" x14ac:dyDescent="0.25">
      <c r="A19" s="5"/>
      <c r="B19" s="5" t="s">
        <v>46</v>
      </c>
      <c r="C19" s="5">
        <f>(I14*J14-H14*K14)/C17</f>
        <v>5996432.6266969489</v>
      </c>
      <c r="D19" s="5">
        <f>SQRT(L14/C17^2)</f>
        <v>4598322.7598754121</v>
      </c>
    </row>
    <row r="20" spans="1:4" x14ac:dyDescent="0.25">
      <c r="A20" s="5"/>
      <c r="B20" s="5" t="s">
        <v>47</v>
      </c>
      <c r="C20" s="5">
        <f>(G14*K14-H14*J14)/C17</f>
        <v>-5.907825205735361E-7</v>
      </c>
      <c r="D20" s="5">
        <f>SQRT(M14/C17^2)</f>
        <v>1.0290900286708866E-6</v>
      </c>
    </row>
    <row r="21" spans="1:4" x14ac:dyDescent="0.25">
      <c r="A21" s="5"/>
      <c r="B21" s="5"/>
      <c r="C21" s="5"/>
      <c r="D21" s="5"/>
    </row>
    <row r="22" spans="1:4" x14ac:dyDescent="0.25">
      <c r="A22" s="5"/>
      <c r="B22" s="5" t="s">
        <v>50</v>
      </c>
      <c r="C22" s="5">
        <f>PEARSON(E6:E13,F6:F13)</f>
        <v>-0.56360731021799837</v>
      </c>
      <c r="D22" s="5"/>
    </row>
    <row r="23" spans="1:4" x14ac:dyDescent="0.25">
      <c r="C23" s="5"/>
      <c r="D23" s="5"/>
    </row>
    <row r="24" spans="1:4" x14ac:dyDescent="0.25">
      <c r="A24" s="5"/>
      <c r="B24" s="5"/>
      <c r="C24" s="5"/>
      <c r="D24" s="5"/>
    </row>
    <row r="25" spans="1:4" x14ac:dyDescent="0.25">
      <c r="A25" s="5"/>
      <c r="B25" s="5" t="s">
        <v>51</v>
      </c>
      <c r="C25" s="5"/>
      <c r="D25" s="5"/>
    </row>
    <row r="26" spans="1:4" x14ac:dyDescent="0.25">
      <c r="A26" s="5"/>
      <c r="B26" s="5">
        <f>$C$19+$C$20*E6</f>
        <v>2388522.8470357442</v>
      </c>
      <c r="C26" s="5"/>
      <c r="D26" s="5"/>
    </row>
    <row r="27" spans="1:4" x14ac:dyDescent="0.25">
      <c r="A27" s="5"/>
      <c r="B27" s="5">
        <f>$C$19+$C$20*E7</f>
        <v>2443643.7191030872</v>
      </c>
      <c r="C27" s="5"/>
      <c r="D27" s="5"/>
    </row>
    <row r="28" spans="1:4" x14ac:dyDescent="0.25">
      <c r="A28" s="5"/>
      <c r="B28" s="5">
        <f>$C$19+$C$20*E8</f>
        <v>2886239.0789181949</v>
      </c>
      <c r="C28" s="5"/>
      <c r="D28" s="5"/>
    </row>
    <row r="29" spans="1:4" x14ac:dyDescent="0.25">
      <c r="B29" s="5">
        <f>$C$19+$C$20*E9</f>
        <v>3551924.2994532683</v>
      </c>
      <c r="C29" s="5"/>
      <c r="D29" s="5"/>
    </row>
    <row r="30" spans="1:4" x14ac:dyDescent="0.25">
      <c r="A30" s="5"/>
      <c r="B30" s="5" t="e">
        <f>$C$19+$C$20*#REF!</f>
        <v>#REF!</v>
      </c>
      <c r="C30" s="5"/>
      <c r="D30" s="5"/>
    </row>
    <row r="31" spans="1:4" x14ac:dyDescent="0.25">
      <c r="A31" s="5"/>
      <c r="B31" s="5">
        <f>$C$19+$C$20*E10</f>
        <v>4015249.4152234816</v>
      </c>
      <c r="C31" s="5"/>
      <c r="D31" s="5"/>
    </row>
    <row r="32" spans="1:4" x14ac:dyDescent="0.25">
      <c r="A32" s="5"/>
      <c r="B32" s="5">
        <f>$C$19+$C$20*E11</f>
        <v>4221686.5396534046</v>
      </c>
      <c r="C32" s="5"/>
      <c r="D32" s="5"/>
    </row>
    <row r="33" spans="1:4" x14ac:dyDescent="0.25">
      <c r="A33" s="5"/>
      <c r="B33" s="5">
        <f>$C$19+$C$20*E12</f>
        <v>4233963.5060633169</v>
      </c>
      <c r="C33" s="5"/>
      <c r="D33" s="5"/>
    </row>
    <row r="34" spans="1:4" x14ac:dyDescent="0.25">
      <c r="A34" s="5"/>
      <c r="B34" s="5">
        <f>$C$19+$C$20*E13</f>
        <v>4476451.0957353944</v>
      </c>
      <c r="C34" s="5"/>
      <c r="D34" s="5"/>
    </row>
    <row r="35" spans="1:4" x14ac:dyDescent="0.25">
      <c r="C35" s="5"/>
      <c r="D35" s="5"/>
    </row>
    <row r="36" spans="1:4" x14ac:dyDescent="0.25">
      <c r="A36" s="5"/>
      <c r="B36" s="5"/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  <row r="46" spans="1:4" x14ac:dyDescent="0.25">
      <c r="A46" s="5"/>
      <c r="B46" s="5"/>
      <c r="C46" s="5"/>
      <c r="D46" s="5"/>
    </row>
    <row r="48" spans="1:4" x14ac:dyDescent="0.25">
      <c r="A48" s="5"/>
      <c r="B48" s="5"/>
    </row>
    <row r="49" spans="1:2" x14ac:dyDescent="0.25">
      <c r="A49" s="5"/>
      <c r="B49" s="5"/>
    </row>
    <row r="50" spans="1:2" x14ac:dyDescent="0.25">
      <c r="A50" s="5"/>
      <c r="B50" s="5"/>
    </row>
    <row r="51" spans="1:2" x14ac:dyDescent="0.25">
      <c r="A51" s="5"/>
      <c r="B51" s="5"/>
    </row>
    <row r="52" spans="1:2" x14ac:dyDescent="0.25">
      <c r="A52" s="5"/>
      <c r="B52" s="5"/>
    </row>
    <row r="54" spans="1:2" x14ac:dyDescent="0.25">
      <c r="A54" s="5"/>
      <c r="B54" s="5"/>
    </row>
    <row r="55" spans="1:2" x14ac:dyDescent="0.25">
      <c r="A55" s="5"/>
      <c r="B55" s="5"/>
    </row>
    <row r="56" spans="1:2" x14ac:dyDescent="0.25">
      <c r="A56" s="5"/>
      <c r="B56" s="5"/>
    </row>
    <row r="57" spans="1:2" x14ac:dyDescent="0.25">
      <c r="A57" s="5"/>
      <c r="B57" s="5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Calcolo alpha</vt:lpstr>
      <vt:lpstr>n</vt:lpstr>
      <vt:lpstr>Retta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Passaro</dc:creator>
  <cp:lastModifiedBy>Davide Passaro</cp:lastModifiedBy>
  <dcterms:created xsi:type="dcterms:W3CDTF">2016-11-13T21:32:22Z</dcterms:created>
  <dcterms:modified xsi:type="dcterms:W3CDTF">2016-11-15T17:36:57Z</dcterms:modified>
</cp:coreProperties>
</file>