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sa\Desktop\Rapporto-massa-carica-elettrone\reticolo\"/>
    </mc:Choice>
  </mc:AlternateContent>
  <bookViews>
    <workbookView xWindow="0" yWindow="0" windowWidth="20520" windowHeight="10988" activeTab="3"/>
  </bookViews>
  <sheets>
    <sheet name="Beta" sheetId="1" r:id="rId1"/>
    <sheet name="Sodio giallo interno" sheetId="2" r:id="rId2"/>
    <sheet name="Sodio giallo esterno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4" l="1"/>
  <c r="P2" i="4"/>
  <c r="O2" i="4"/>
  <c r="N2" i="4"/>
  <c r="L2" i="4"/>
  <c r="E34" i="4"/>
  <c r="M18" i="2"/>
  <c r="L18" i="2"/>
  <c r="B20" i="3"/>
  <c r="B20" i="2"/>
  <c r="E6" i="2"/>
  <c r="G25" i="3"/>
  <c r="H25" i="3"/>
  <c r="I25" i="3"/>
  <c r="J25" i="3"/>
  <c r="K25" i="3"/>
  <c r="L25" i="3"/>
  <c r="M25" i="3"/>
  <c r="N25" i="3"/>
  <c r="O25" i="3"/>
  <c r="P25" i="3"/>
  <c r="Q25" i="3"/>
  <c r="G26" i="3"/>
  <c r="H26" i="3"/>
  <c r="I26" i="3"/>
  <c r="J26" i="3"/>
  <c r="K26" i="3"/>
  <c r="L26" i="3"/>
  <c r="M26" i="3"/>
  <c r="N26" i="3"/>
  <c r="O26" i="3"/>
  <c r="P26" i="3"/>
  <c r="Q26" i="3"/>
  <c r="G27" i="3"/>
  <c r="H27" i="3"/>
  <c r="I27" i="3"/>
  <c r="J27" i="3"/>
  <c r="K27" i="3"/>
  <c r="L27" i="3"/>
  <c r="M27" i="3"/>
  <c r="N27" i="3"/>
  <c r="O27" i="3"/>
  <c r="P27" i="3"/>
  <c r="Q27" i="3"/>
  <c r="G28" i="3"/>
  <c r="H28" i="3"/>
  <c r="I28" i="3"/>
  <c r="J28" i="3"/>
  <c r="K28" i="3"/>
  <c r="L28" i="3"/>
  <c r="M28" i="3"/>
  <c r="N28" i="3"/>
  <c r="O28" i="3"/>
  <c r="P28" i="3"/>
  <c r="Q28" i="3"/>
  <c r="G29" i="3"/>
  <c r="H29" i="3"/>
  <c r="I29" i="3"/>
  <c r="J29" i="3"/>
  <c r="K29" i="3"/>
  <c r="L29" i="3"/>
  <c r="M29" i="3"/>
  <c r="N29" i="3"/>
  <c r="O29" i="3"/>
  <c r="P29" i="3"/>
  <c r="Q29" i="3"/>
  <c r="G30" i="3"/>
  <c r="H30" i="3"/>
  <c r="I30" i="3"/>
  <c r="J30" i="3"/>
  <c r="K30" i="3"/>
  <c r="L30" i="3"/>
  <c r="M30" i="3"/>
  <c r="N30" i="3"/>
  <c r="O30" i="3"/>
  <c r="P30" i="3"/>
  <c r="Q30" i="3"/>
  <c r="G31" i="3"/>
  <c r="H31" i="3"/>
  <c r="I31" i="3"/>
  <c r="J31" i="3"/>
  <c r="K31" i="3"/>
  <c r="L31" i="3"/>
  <c r="M31" i="3"/>
  <c r="N31" i="3"/>
  <c r="O31" i="3"/>
  <c r="P31" i="3"/>
  <c r="Q31" i="3"/>
  <c r="G32" i="3"/>
  <c r="H32" i="3"/>
  <c r="I32" i="3"/>
  <c r="J32" i="3"/>
  <c r="K32" i="3"/>
  <c r="L32" i="3"/>
  <c r="M32" i="3"/>
  <c r="N32" i="3"/>
  <c r="O32" i="3"/>
  <c r="P32" i="3"/>
  <c r="Q32" i="3"/>
  <c r="G33" i="3"/>
  <c r="H33" i="3"/>
  <c r="I33" i="3"/>
  <c r="J33" i="3"/>
  <c r="K33" i="3"/>
  <c r="L33" i="3"/>
  <c r="M33" i="3"/>
  <c r="N33" i="3"/>
  <c r="O33" i="3"/>
  <c r="P33" i="3"/>
  <c r="Q33" i="3"/>
  <c r="G34" i="3"/>
  <c r="H34" i="3"/>
  <c r="I34" i="3"/>
  <c r="J34" i="3"/>
  <c r="K34" i="3"/>
  <c r="L34" i="3"/>
  <c r="M34" i="3"/>
  <c r="N34" i="3"/>
  <c r="O34" i="3"/>
  <c r="P34" i="3"/>
  <c r="Q34" i="3"/>
  <c r="H24" i="3"/>
  <c r="I24" i="3"/>
  <c r="J24" i="3"/>
  <c r="K24" i="3"/>
  <c r="L24" i="3"/>
  <c r="M24" i="3"/>
  <c r="N24" i="3"/>
  <c r="O24" i="3"/>
  <c r="P24" i="3"/>
  <c r="Q24" i="3"/>
  <c r="G24" i="3"/>
  <c r="G22" i="3" a="1"/>
  <c r="G22" i="3" s="1"/>
  <c r="J22" i="3"/>
  <c r="N22" i="3"/>
  <c r="G23" i="3" a="1"/>
  <c r="G23" i="3"/>
  <c r="H23" i="3"/>
  <c r="I23" i="3"/>
  <c r="J23" i="3"/>
  <c r="K23" i="3"/>
  <c r="L23" i="3"/>
  <c r="M23" i="3"/>
  <c r="N23" i="3"/>
  <c r="O23" i="3"/>
  <c r="P23" i="3"/>
  <c r="Q23" i="3"/>
  <c r="R23" i="3"/>
  <c r="G31" i="2"/>
  <c r="H31" i="2"/>
  <c r="I31" i="2"/>
  <c r="J31" i="2"/>
  <c r="K31" i="2"/>
  <c r="L31" i="2"/>
  <c r="M31" i="2"/>
  <c r="N31" i="2"/>
  <c r="O31" i="2"/>
  <c r="P31" i="2"/>
  <c r="Q31" i="2"/>
  <c r="G32" i="2"/>
  <c r="H32" i="2"/>
  <c r="I32" i="2"/>
  <c r="J32" i="2"/>
  <c r="K32" i="2"/>
  <c r="L32" i="2"/>
  <c r="M32" i="2"/>
  <c r="N32" i="2"/>
  <c r="O32" i="2"/>
  <c r="P32" i="2"/>
  <c r="Q32" i="2"/>
  <c r="G33" i="2"/>
  <c r="H33" i="2"/>
  <c r="I33" i="2"/>
  <c r="J33" i="2"/>
  <c r="K33" i="2"/>
  <c r="L33" i="2"/>
  <c r="M33" i="2"/>
  <c r="N33" i="2"/>
  <c r="O33" i="2"/>
  <c r="P33" i="2"/>
  <c r="Q33" i="2"/>
  <c r="G34" i="2"/>
  <c r="H34" i="2"/>
  <c r="I34" i="2"/>
  <c r="J34" i="2"/>
  <c r="K34" i="2"/>
  <c r="L34" i="2"/>
  <c r="M34" i="2"/>
  <c r="N34" i="2"/>
  <c r="O34" i="2"/>
  <c r="P34" i="2"/>
  <c r="Q34" i="2"/>
  <c r="G35" i="2"/>
  <c r="H35" i="2"/>
  <c r="I35" i="2"/>
  <c r="J35" i="2"/>
  <c r="K35" i="2"/>
  <c r="L35" i="2"/>
  <c r="M35" i="2"/>
  <c r="N35" i="2"/>
  <c r="O35" i="2"/>
  <c r="P35" i="2"/>
  <c r="Q35" i="2"/>
  <c r="G36" i="2"/>
  <c r="H36" i="2"/>
  <c r="I36" i="2"/>
  <c r="J36" i="2"/>
  <c r="K36" i="2"/>
  <c r="L36" i="2"/>
  <c r="M36" i="2"/>
  <c r="N36" i="2"/>
  <c r="O36" i="2"/>
  <c r="P36" i="2"/>
  <c r="Q36" i="2"/>
  <c r="G37" i="2"/>
  <c r="H37" i="2"/>
  <c r="I37" i="2"/>
  <c r="J37" i="2"/>
  <c r="K37" i="2"/>
  <c r="L37" i="2"/>
  <c r="M37" i="2"/>
  <c r="N37" i="2"/>
  <c r="O37" i="2"/>
  <c r="P37" i="2"/>
  <c r="Q37" i="2"/>
  <c r="G38" i="2"/>
  <c r="H38" i="2"/>
  <c r="I38" i="2"/>
  <c r="J38" i="2"/>
  <c r="K38" i="2"/>
  <c r="L38" i="2"/>
  <c r="M38" i="2"/>
  <c r="N38" i="2"/>
  <c r="O38" i="2"/>
  <c r="P38" i="2"/>
  <c r="Q38" i="2"/>
  <c r="G39" i="2"/>
  <c r="H39" i="2"/>
  <c r="I39" i="2"/>
  <c r="J39" i="2"/>
  <c r="K39" i="2"/>
  <c r="L39" i="2"/>
  <c r="M39" i="2"/>
  <c r="N39" i="2"/>
  <c r="O39" i="2"/>
  <c r="P39" i="2"/>
  <c r="Q39" i="2"/>
  <c r="G40" i="2"/>
  <c r="H40" i="2"/>
  <c r="I40" i="2"/>
  <c r="J40" i="2"/>
  <c r="K40" i="2"/>
  <c r="L40" i="2"/>
  <c r="M40" i="2"/>
  <c r="N40" i="2"/>
  <c r="O40" i="2"/>
  <c r="P40" i="2"/>
  <c r="Q40" i="2"/>
  <c r="G30" i="2"/>
  <c r="I30" i="2"/>
  <c r="J30" i="2"/>
  <c r="K30" i="2"/>
  <c r="L30" i="2"/>
  <c r="M30" i="2"/>
  <c r="N30" i="2"/>
  <c r="O30" i="2"/>
  <c r="P30" i="2"/>
  <c r="Q30" i="2"/>
  <c r="H30" i="2"/>
  <c r="G28" i="2" a="1"/>
  <c r="G28" i="2" s="1"/>
  <c r="H9" i="2"/>
  <c r="H4" i="2"/>
  <c r="H5" i="2"/>
  <c r="H6" i="2"/>
  <c r="H7" i="2"/>
  <c r="H8" i="2"/>
  <c r="H10" i="2"/>
  <c r="H11" i="2"/>
  <c r="H12" i="2"/>
  <c r="H13" i="2"/>
  <c r="H14" i="2"/>
  <c r="H3" i="2"/>
  <c r="B22" i="2"/>
  <c r="G14" i="3"/>
  <c r="H14" i="3" s="1"/>
  <c r="I14" i="3" s="1"/>
  <c r="F14" i="3"/>
  <c r="E14" i="3"/>
  <c r="D14" i="3"/>
  <c r="H13" i="3"/>
  <c r="I13" i="3" s="1"/>
  <c r="G13" i="3"/>
  <c r="F13" i="3"/>
  <c r="E13" i="3"/>
  <c r="D13" i="3"/>
  <c r="G12" i="3"/>
  <c r="H12" i="3" s="1"/>
  <c r="I12" i="3" s="1"/>
  <c r="F12" i="3"/>
  <c r="E12" i="3"/>
  <c r="D12" i="3"/>
  <c r="H11" i="3"/>
  <c r="I11" i="3" s="1"/>
  <c r="G11" i="3"/>
  <c r="F11" i="3"/>
  <c r="E11" i="3"/>
  <c r="D11" i="3"/>
  <c r="G10" i="3"/>
  <c r="H10" i="3" s="1"/>
  <c r="I10" i="3" s="1"/>
  <c r="F10" i="3"/>
  <c r="E10" i="3"/>
  <c r="D10" i="3"/>
  <c r="H9" i="3"/>
  <c r="I9" i="3" s="1"/>
  <c r="G9" i="3"/>
  <c r="F9" i="3"/>
  <c r="E9" i="3"/>
  <c r="D9" i="3"/>
  <c r="G8" i="3"/>
  <c r="H8" i="3" s="1"/>
  <c r="I8" i="3" s="1"/>
  <c r="F8" i="3"/>
  <c r="E8" i="3"/>
  <c r="D8" i="3"/>
  <c r="H7" i="3"/>
  <c r="I7" i="3" s="1"/>
  <c r="G7" i="3"/>
  <c r="F7" i="3"/>
  <c r="E7" i="3"/>
  <c r="D7" i="3"/>
  <c r="G6" i="3"/>
  <c r="H6" i="3" s="1"/>
  <c r="I6" i="3" s="1"/>
  <c r="F6" i="3"/>
  <c r="E6" i="3"/>
  <c r="D6" i="3"/>
  <c r="H5" i="3"/>
  <c r="I5" i="3" s="1"/>
  <c r="G5" i="3"/>
  <c r="F5" i="3"/>
  <c r="E5" i="3"/>
  <c r="D5" i="3"/>
  <c r="G4" i="3"/>
  <c r="G18" i="3" s="1"/>
  <c r="F4" i="3"/>
  <c r="E4" i="3"/>
  <c r="D4" i="3"/>
  <c r="H3" i="3"/>
  <c r="I3" i="3" s="1"/>
  <c r="G3" i="3"/>
  <c r="F3" i="3"/>
  <c r="E3" i="3"/>
  <c r="D3" i="3"/>
  <c r="B18" i="3"/>
  <c r="F14" i="2"/>
  <c r="F4" i="2"/>
  <c r="F5" i="2"/>
  <c r="F6" i="2"/>
  <c r="F7" i="2"/>
  <c r="F8" i="2"/>
  <c r="F9" i="2"/>
  <c r="F10" i="2"/>
  <c r="F11" i="2"/>
  <c r="F12" i="2"/>
  <c r="F13" i="2"/>
  <c r="F3" i="2"/>
  <c r="E4" i="2"/>
  <c r="E5" i="2"/>
  <c r="E7" i="2"/>
  <c r="E8" i="2"/>
  <c r="E9" i="2"/>
  <c r="E10" i="2"/>
  <c r="E11" i="2"/>
  <c r="E12" i="2"/>
  <c r="E13" i="2"/>
  <c r="E14" i="2"/>
  <c r="E3" i="2"/>
  <c r="D5" i="2"/>
  <c r="D6" i="2"/>
  <c r="D7" i="2"/>
  <c r="D9" i="2"/>
  <c r="D10" i="2"/>
  <c r="D11" i="2"/>
  <c r="D13" i="2"/>
  <c r="D14" i="2"/>
  <c r="B18" i="2"/>
  <c r="G7" i="2" s="1"/>
  <c r="H4" i="3" l="1"/>
  <c r="I7" i="2"/>
  <c r="J7" i="2" s="1"/>
  <c r="K7" i="2" s="1"/>
  <c r="Q22" i="3"/>
  <c r="M22" i="3"/>
  <c r="I22" i="3"/>
  <c r="P22" i="3"/>
  <c r="L22" i="3"/>
  <c r="H22" i="3"/>
  <c r="O22" i="3"/>
  <c r="K22" i="3"/>
  <c r="N28" i="2"/>
  <c r="J28" i="2"/>
  <c r="Q28" i="2"/>
  <c r="M28" i="2"/>
  <c r="I28" i="2"/>
  <c r="P28" i="2"/>
  <c r="L28" i="2"/>
  <c r="H28" i="2"/>
  <c r="O28" i="2"/>
  <c r="K28" i="2"/>
  <c r="G9" i="2"/>
  <c r="I9" i="2" s="1"/>
  <c r="J9" i="2" s="1"/>
  <c r="K9" i="2" s="1"/>
  <c r="G14" i="2"/>
  <c r="G13" i="2"/>
  <c r="G5" i="2"/>
  <c r="G6" i="2"/>
  <c r="G10" i="2"/>
  <c r="G12" i="2"/>
  <c r="G8" i="2"/>
  <c r="G4" i="2"/>
  <c r="I4" i="2" s="1"/>
  <c r="J4" i="2" s="1"/>
  <c r="G3" i="2"/>
  <c r="G11" i="2"/>
  <c r="D12" i="2"/>
  <c r="D8" i="2"/>
  <c r="D4" i="2"/>
  <c r="C1" i="4"/>
  <c r="B3" i="3"/>
  <c r="B3" i="2"/>
  <c r="D3" i="2" s="1"/>
  <c r="AF7" i="1"/>
  <c r="AF6" i="1"/>
  <c r="AF5" i="1"/>
  <c r="AC7" i="1"/>
  <c r="AE6" i="1"/>
  <c r="AE5" i="1"/>
  <c r="AD5" i="1"/>
  <c r="AD6" i="1"/>
  <c r="AC6" i="1"/>
  <c r="AC5" i="1"/>
  <c r="B7" i="1"/>
  <c r="E7" i="1" s="1"/>
  <c r="Q7" i="1"/>
  <c r="K7" i="1"/>
  <c r="Q6" i="1"/>
  <c r="K6" i="1"/>
  <c r="E6" i="1"/>
  <c r="Q5" i="1"/>
  <c r="T5" i="1" s="1"/>
  <c r="H5" i="1"/>
  <c r="K5" i="1" s="1"/>
  <c r="B5" i="1"/>
  <c r="E5" i="1" s="1"/>
  <c r="I4" i="3" l="1"/>
  <c r="H15" i="3"/>
  <c r="K5" i="2"/>
  <c r="I5" i="2"/>
  <c r="J5" i="2" s="1"/>
  <c r="I12" i="2"/>
  <c r="J12" i="2" s="1"/>
  <c r="K12" i="2" s="1"/>
  <c r="I3" i="2"/>
  <c r="J3" i="2" s="1"/>
  <c r="K3" i="2" s="1"/>
  <c r="I10" i="2"/>
  <c r="J10" i="2" s="1"/>
  <c r="K10" i="2" s="1"/>
  <c r="I14" i="2"/>
  <c r="J14" i="2" s="1"/>
  <c r="K14" i="2" s="1"/>
  <c r="I8" i="2"/>
  <c r="J8" i="2" s="1"/>
  <c r="K8" i="2" s="1"/>
  <c r="I11" i="2"/>
  <c r="J11" i="2" s="1"/>
  <c r="K11" i="2" s="1"/>
  <c r="I13" i="2"/>
  <c r="J13" i="2" s="1"/>
  <c r="K13" i="2" s="1"/>
  <c r="G18" i="2"/>
  <c r="I6" i="2"/>
  <c r="J6" i="2" s="1"/>
  <c r="K6" i="2" s="1"/>
  <c r="K4" i="2"/>
  <c r="D64" i="4"/>
  <c r="G64" i="4" s="1"/>
  <c r="D24" i="4"/>
  <c r="G24" i="4" s="1"/>
  <c r="D47" i="4"/>
  <c r="G47" i="4" s="1"/>
  <c r="D48" i="4"/>
  <c r="G48" i="4" s="1"/>
  <c r="D57" i="4"/>
  <c r="G57" i="4" s="1"/>
  <c r="D40" i="4"/>
  <c r="G40" i="4" s="1"/>
  <c r="D56" i="4"/>
  <c r="G56" i="4" s="1"/>
  <c r="D65" i="4"/>
  <c r="G65" i="4" s="1"/>
  <c r="D16" i="4"/>
  <c r="G16" i="4" s="1"/>
  <c r="D8" i="4"/>
  <c r="G8" i="4" s="1"/>
  <c r="I8" i="4" s="1"/>
  <c r="D55" i="4"/>
  <c r="G55" i="4" s="1"/>
  <c r="D14" i="4"/>
  <c r="G14" i="4" s="1"/>
  <c r="D23" i="4"/>
  <c r="G23" i="4" s="1"/>
  <c r="D32" i="4"/>
  <c r="G32" i="4" s="1"/>
  <c r="D30" i="4"/>
  <c r="G30" i="4" s="1"/>
  <c r="D45" i="4"/>
  <c r="G45" i="4" s="1"/>
  <c r="D31" i="4"/>
  <c r="G31" i="4" s="1"/>
  <c r="D39" i="4"/>
  <c r="G39" i="4" s="1"/>
  <c r="D38" i="4"/>
  <c r="G38" i="4" s="1"/>
  <c r="D54" i="4"/>
  <c r="G54" i="4" s="1"/>
  <c r="D63" i="4"/>
  <c r="G63" i="4" s="1"/>
  <c r="D71" i="4"/>
  <c r="G71" i="4" s="1"/>
  <c r="D22" i="4"/>
  <c r="G22" i="4" s="1"/>
  <c r="D44" i="4"/>
  <c r="G44" i="4" s="1"/>
  <c r="D62" i="4"/>
  <c r="G62" i="4" s="1"/>
  <c r="D15" i="4"/>
  <c r="G15" i="4" s="1"/>
  <c r="D46" i="4"/>
  <c r="G46" i="4" s="1"/>
  <c r="D29" i="4"/>
  <c r="G29" i="4" s="1"/>
  <c r="D20" i="4"/>
  <c r="G20" i="4" s="1"/>
  <c r="D60" i="4"/>
  <c r="G60" i="4" s="1"/>
  <c r="D21" i="4"/>
  <c r="G21" i="4" s="1"/>
  <c r="D69" i="4"/>
  <c r="G69" i="4" s="1"/>
  <c r="D9" i="4"/>
  <c r="G9" i="4" s="1"/>
  <c r="I9" i="4" s="1"/>
  <c r="D70" i="4"/>
  <c r="G70" i="4" s="1"/>
  <c r="D10" i="4"/>
  <c r="G10" i="4" s="1"/>
  <c r="I10" i="4" s="1"/>
  <c r="D61" i="4"/>
  <c r="G61" i="4" s="1"/>
  <c r="D7" i="4"/>
  <c r="G7" i="4" s="1"/>
  <c r="I7" i="4" s="1"/>
  <c r="D35" i="4"/>
  <c r="G35" i="4" s="1"/>
  <c r="D68" i="4"/>
  <c r="G68" i="4" s="1"/>
  <c r="D37" i="4"/>
  <c r="G37" i="4" s="1"/>
  <c r="D53" i="4"/>
  <c r="G53" i="4" s="1"/>
  <c r="D6" i="4"/>
  <c r="D28" i="4"/>
  <c r="G28" i="4" s="1"/>
  <c r="D43" i="4"/>
  <c r="G43" i="4" s="1"/>
  <c r="D51" i="4"/>
  <c r="G51" i="4" s="1"/>
  <c r="D13" i="4"/>
  <c r="G13" i="4" s="1"/>
  <c r="D52" i="4"/>
  <c r="G52" i="4" s="1"/>
  <c r="D3" i="4"/>
  <c r="D27" i="4"/>
  <c r="G27" i="4" s="1"/>
  <c r="D19" i="4"/>
  <c r="G19" i="4" s="1"/>
  <c r="D36" i="4"/>
  <c r="G36" i="4" s="1"/>
  <c r="S5" i="1"/>
  <c r="U5" i="1"/>
  <c r="V5" i="1" s="1"/>
  <c r="W5" i="1" s="1"/>
  <c r="Y5" i="1"/>
  <c r="Z5" i="1" s="1"/>
  <c r="AA5" i="1" s="1"/>
  <c r="T7" i="1"/>
  <c r="AD7" i="1" s="1"/>
  <c r="AE7" i="1" s="1"/>
  <c r="S7" i="1"/>
  <c r="S6" i="1"/>
  <c r="T6" i="1"/>
  <c r="Y6" i="1" s="1"/>
  <c r="I27" i="4" l="1"/>
  <c r="I53" i="4"/>
  <c r="I62" i="4"/>
  <c r="I31" i="4"/>
  <c r="I16" i="4"/>
  <c r="J16" i="4" s="1"/>
  <c r="I64" i="4"/>
  <c r="I43" i="4"/>
  <c r="I61" i="4"/>
  <c r="I29" i="4"/>
  <c r="I54" i="4"/>
  <c r="I45" i="4"/>
  <c r="H45" i="4"/>
  <c r="I65" i="4"/>
  <c r="I36" i="4"/>
  <c r="J36" i="4" s="1"/>
  <c r="I52" i="4"/>
  <c r="J52" i="4" s="1"/>
  <c r="I28" i="4"/>
  <c r="J28" i="4" s="1"/>
  <c r="I68" i="4"/>
  <c r="I21" i="4"/>
  <c r="I25" i="4" s="1"/>
  <c r="I46" i="4"/>
  <c r="I22" i="4"/>
  <c r="J22" i="4" s="1"/>
  <c r="I38" i="4"/>
  <c r="I30" i="4"/>
  <c r="H30" i="4"/>
  <c r="I55" i="4"/>
  <c r="I56" i="4"/>
  <c r="J56" i="4" s="1"/>
  <c r="H47" i="4"/>
  <c r="I47" i="4"/>
  <c r="I51" i="4"/>
  <c r="I20" i="4"/>
  <c r="I63" i="4"/>
  <c r="J63" i="4" s="1"/>
  <c r="I23" i="4"/>
  <c r="J23" i="4" s="1"/>
  <c r="I57" i="4"/>
  <c r="I37" i="4"/>
  <c r="I69" i="4"/>
  <c r="J69" i="4" s="1"/>
  <c r="I44" i="4"/>
  <c r="I14" i="4"/>
  <c r="J14" i="4" s="1"/>
  <c r="H48" i="4"/>
  <c r="I48" i="4"/>
  <c r="I19" i="4"/>
  <c r="G6" i="4"/>
  <c r="E6" i="4"/>
  <c r="F6" i="4" s="1"/>
  <c r="I35" i="4"/>
  <c r="H35" i="4"/>
  <c r="I70" i="4"/>
  <c r="I60" i="4"/>
  <c r="I71" i="4"/>
  <c r="J71" i="4" s="1"/>
  <c r="I39" i="4"/>
  <c r="H39" i="4"/>
  <c r="I32" i="4"/>
  <c r="I40" i="4"/>
  <c r="I24" i="4"/>
  <c r="I15" i="4"/>
  <c r="I13" i="4"/>
  <c r="I15" i="3"/>
  <c r="F18" i="3" s="1"/>
  <c r="H18" i="3"/>
  <c r="I18" i="3" s="1"/>
  <c r="J15" i="2"/>
  <c r="K15" i="2"/>
  <c r="H18" i="2"/>
  <c r="F18" i="2"/>
  <c r="E54" i="4"/>
  <c r="F54" i="4" s="1"/>
  <c r="E45" i="4"/>
  <c r="F45" i="4" s="1"/>
  <c r="E65" i="4"/>
  <c r="F65" i="4" s="1"/>
  <c r="E48" i="4"/>
  <c r="F48" i="4" s="1"/>
  <c r="E46" i="4"/>
  <c r="F46" i="4" s="1"/>
  <c r="E22" i="4"/>
  <c r="F22" i="4" s="1"/>
  <c r="E56" i="4"/>
  <c r="F56" i="4" s="1"/>
  <c r="E47" i="4"/>
  <c r="F47" i="4" s="1"/>
  <c r="E40" i="4"/>
  <c r="F40" i="4" s="1"/>
  <c r="E24" i="4"/>
  <c r="F24" i="4" s="1"/>
  <c r="E16" i="4"/>
  <c r="F16" i="4" s="1"/>
  <c r="E57" i="4"/>
  <c r="F57" i="4" s="1"/>
  <c r="E64" i="4"/>
  <c r="F64" i="4" s="1"/>
  <c r="E8" i="4"/>
  <c r="J8" i="4" s="1"/>
  <c r="E63" i="4"/>
  <c r="F63" i="4" s="1"/>
  <c r="E15" i="4"/>
  <c r="F15" i="4" s="1"/>
  <c r="E38" i="4"/>
  <c r="F38" i="4" s="1"/>
  <c r="E23" i="4"/>
  <c r="F23" i="4" s="1"/>
  <c r="E62" i="4"/>
  <c r="F62" i="4" s="1"/>
  <c r="E71" i="4"/>
  <c r="F71" i="4" s="1"/>
  <c r="E32" i="4"/>
  <c r="F32" i="4" s="1"/>
  <c r="E39" i="4"/>
  <c r="F39" i="4" s="1"/>
  <c r="E30" i="4"/>
  <c r="F30" i="4" s="1"/>
  <c r="E44" i="4"/>
  <c r="F44" i="4" s="1"/>
  <c r="E31" i="4"/>
  <c r="F31" i="4" s="1"/>
  <c r="E14" i="4"/>
  <c r="F14" i="4" s="1"/>
  <c r="E55" i="4"/>
  <c r="F55" i="4" s="1"/>
  <c r="E43" i="4"/>
  <c r="F43" i="4" s="1"/>
  <c r="E20" i="4"/>
  <c r="F20" i="4" s="1"/>
  <c r="E21" i="4"/>
  <c r="F21" i="4" s="1"/>
  <c r="E36" i="4"/>
  <c r="F36" i="4" s="1"/>
  <c r="E52" i="4"/>
  <c r="F52" i="4" s="1"/>
  <c r="E60" i="4"/>
  <c r="F60" i="4" s="1"/>
  <c r="E19" i="4"/>
  <c r="F19" i="4" s="1"/>
  <c r="E9" i="4"/>
  <c r="J9" i="4" s="1"/>
  <c r="E27" i="4"/>
  <c r="F27" i="4" s="1"/>
  <c r="E51" i="4"/>
  <c r="F51" i="4" s="1"/>
  <c r="E28" i="4"/>
  <c r="F28" i="4" s="1"/>
  <c r="E35" i="4"/>
  <c r="F35" i="4" s="1"/>
  <c r="E61" i="4"/>
  <c r="F61" i="4" s="1"/>
  <c r="E53" i="4"/>
  <c r="F53" i="4" s="1"/>
  <c r="E7" i="4"/>
  <c r="J7" i="4" s="1"/>
  <c r="E10" i="4"/>
  <c r="J10" i="4" s="1"/>
  <c r="E29" i="4"/>
  <c r="F29" i="4" s="1"/>
  <c r="E37" i="4"/>
  <c r="F37" i="4" s="1"/>
  <c r="E13" i="4"/>
  <c r="F13" i="4" s="1"/>
  <c r="E69" i="4"/>
  <c r="F69" i="4" s="1"/>
  <c r="E68" i="4"/>
  <c r="F68" i="4" s="1"/>
  <c r="E70" i="4"/>
  <c r="F70" i="4" s="1"/>
  <c r="Y7" i="1"/>
  <c r="Z7" i="1" s="1"/>
  <c r="AA7" i="1" s="1"/>
  <c r="U7" i="1"/>
  <c r="V7" i="1" s="1"/>
  <c r="W7" i="1" s="1"/>
  <c r="Z6" i="1"/>
  <c r="AA6" i="1" s="1"/>
  <c r="U6" i="1"/>
  <c r="V6" i="1" s="1"/>
  <c r="W6" i="1" s="1"/>
  <c r="H68" i="4" l="1"/>
  <c r="J65" i="4"/>
  <c r="H62" i="4"/>
  <c r="J61" i="4"/>
  <c r="J55" i="4"/>
  <c r="H44" i="4"/>
  <c r="H21" i="4"/>
  <c r="I6" i="4"/>
  <c r="H6" i="4"/>
  <c r="H46" i="4"/>
  <c r="J53" i="4"/>
  <c r="L21" i="4"/>
  <c r="J19" i="4"/>
  <c r="H51" i="4"/>
  <c r="H53" i="4"/>
  <c r="J24" i="4"/>
  <c r="J39" i="4"/>
  <c r="H60" i="4"/>
  <c r="I41" i="4"/>
  <c r="L37" i="4" s="1"/>
  <c r="J35" i="4"/>
  <c r="H19" i="4"/>
  <c r="H14" i="4"/>
  <c r="H69" i="4"/>
  <c r="H57" i="4"/>
  <c r="H63" i="4"/>
  <c r="I58" i="4"/>
  <c r="L53" i="4" s="1"/>
  <c r="J51" i="4"/>
  <c r="J58" i="4" s="1"/>
  <c r="L51" i="4" s="1"/>
  <c r="H56" i="4"/>
  <c r="J30" i="4"/>
  <c r="H22" i="4"/>
  <c r="J21" i="4"/>
  <c r="H28" i="4"/>
  <c r="H36" i="4"/>
  <c r="J45" i="4"/>
  <c r="J29" i="4"/>
  <c r="H43" i="4"/>
  <c r="H16" i="4"/>
  <c r="J62" i="4"/>
  <c r="J27" i="4"/>
  <c r="J33" i="4" s="1"/>
  <c r="L27" i="4" s="1"/>
  <c r="I33" i="4"/>
  <c r="L29" i="4" s="1"/>
  <c r="J40" i="4"/>
  <c r="H32" i="4"/>
  <c r="H70" i="4"/>
  <c r="H37" i="4"/>
  <c r="J20" i="4"/>
  <c r="H38" i="4"/>
  <c r="H54" i="4"/>
  <c r="H64" i="4"/>
  <c r="H31" i="4"/>
  <c r="H40" i="4"/>
  <c r="J60" i="4"/>
  <c r="I66" i="4"/>
  <c r="L62" i="4" s="1"/>
  <c r="J57" i="4"/>
  <c r="H29" i="4"/>
  <c r="I49" i="4"/>
  <c r="L45" i="4" s="1"/>
  <c r="J43" i="4"/>
  <c r="H24" i="4"/>
  <c r="J32" i="4"/>
  <c r="H71" i="4"/>
  <c r="J70" i="4"/>
  <c r="J48" i="4"/>
  <c r="J44" i="4"/>
  <c r="J37" i="4"/>
  <c r="H23" i="4"/>
  <c r="H20" i="4"/>
  <c r="J47" i="4"/>
  <c r="H55" i="4"/>
  <c r="J38" i="4"/>
  <c r="J46" i="4"/>
  <c r="I72" i="4"/>
  <c r="L70" i="4" s="1"/>
  <c r="J68" i="4"/>
  <c r="H52" i="4"/>
  <c r="H65" i="4"/>
  <c r="J54" i="4"/>
  <c r="H61" i="4"/>
  <c r="J64" i="4"/>
  <c r="J31" i="4"/>
  <c r="H27" i="4"/>
  <c r="H15" i="4"/>
  <c r="J15" i="4"/>
  <c r="I17" i="4"/>
  <c r="L15" i="4" s="1"/>
  <c r="J13" i="4"/>
  <c r="J17" i="4" s="1"/>
  <c r="L13" i="4" s="1"/>
  <c r="H13" i="4"/>
  <c r="F7" i="4"/>
  <c r="H7" i="4"/>
  <c r="F8" i="4"/>
  <c r="H8" i="4"/>
  <c r="F10" i="4"/>
  <c r="H10" i="4"/>
  <c r="F9" i="4"/>
  <c r="H9" i="4"/>
  <c r="F25" i="2"/>
  <c r="H25" i="2" s="1"/>
  <c r="K18" i="2"/>
  <c r="I18" i="2"/>
  <c r="J72" i="4" l="1"/>
  <c r="L68" i="4" s="1"/>
  <c r="E67" i="4" s="1"/>
  <c r="J66" i="4"/>
  <c r="L60" i="4" s="1"/>
  <c r="E59" i="4" s="1"/>
  <c r="E26" i="4"/>
  <c r="M27" i="4"/>
  <c r="E50" i="4"/>
  <c r="M51" i="4"/>
  <c r="J25" i="4"/>
  <c r="L19" i="4" s="1"/>
  <c r="J49" i="4"/>
  <c r="L43" i="4" s="1"/>
  <c r="J41" i="4"/>
  <c r="L35" i="4" s="1"/>
  <c r="M35" i="4" s="1"/>
  <c r="J6" i="4"/>
  <c r="J11" i="4" s="1"/>
  <c r="L6" i="4" s="1"/>
  <c r="M6" i="4" s="1"/>
  <c r="I11" i="4"/>
  <c r="L8" i="4" s="1"/>
  <c r="E12" i="4"/>
  <c r="M13" i="4"/>
  <c r="E5" i="4"/>
  <c r="G25" i="2"/>
  <c r="M68" i="4" l="1"/>
  <c r="M60" i="4"/>
  <c r="M43" i="4"/>
  <c r="E42" i="4"/>
  <c r="E18" i="4"/>
  <c r="M19" i="4"/>
</calcChain>
</file>

<file path=xl/sharedStrings.xml><?xml version="1.0" encoding="utf-8"?>
<sst xmlns="http://schemas.openxmlformats.org/spreadsheetml/2006/main" count="144" uniqueCount="67">
  <si>
    <t>PERPENDICOLARITà DEL RETICOLO</t>
  </si>
  <si>
    <t>zero</t>
  </si>
  <si>
    <t xml:space="preserve">gradi </t>
  </si>
  <si>
    <t>primi</t>
  </si>
  <si>
    <t>ordine</t>
  </si>
  <si>
    <t>errore</t>
  </si>
  <si>
    <t>destra</t>
  </si>
  <si>
    <t>sinistra</t>
  </si>
  <si>
    <t>theta 1</t>
  </si>
  <si>
    <t>theta 2</t>
  </si>
  <si>
    <t>rad</t>
  </si>
  <si>
    <t>betarad</t>
  </si>
  <si>
    <t>betagrad</t>
  </si>
  <si>
    <t>betaprim</t>
  </si>
  <si>
    <t>beta2</t>
  </si>
  <si>
    <t>theta 2 grad</t>
  </si>
  <si>
    <t>theta 1 grad</t>
  </si>
  <si>
    <t>delta grad</t>
  </si>
  <si>
    <t>delta prim</t>
  </si>
  <si>
    <t>Beta</t>
  </si>
  <si>
    <t>misura</t>
  </si>
  <si>
    <t>gradi</t>
  </si>
  <si>
    <t>andando a destra prima</t>
  </si>
  <si>
    <t>d</t>
  </si>
  <si>
    <t>massimo centrale</t>
  </si>
  <si>
    <t>viola interno</t>
  </si>
  <si>
    <t>viola esterno</t>
  </si>
  <si>
    <t>blu</t>
  </si>
  <si>
    <t>verde interno</t>
  </si>
  <si>
    <t>verde esterno</t>
  </si>
  <si>
    <t>verde giallo</t>
  </si>
  <si>
    <t>giallo interno</t>
  </si>
  <si>
    <t>giallo esterno</t>
  </si>
  <si>
    <t>Rosso</t>
  </si>
  <si>
    <t>radianti</t>
  </si>
  <si>
    <t>lambda (m)</t>
  </si>
  <si>
    <t>Costanti</t>
  </si>
  <si>
    <t>PI/180</t>
  </si>
  <si>
    <t>Differenze con lo zero</t>
  </si>
  <si>
    <t>Errore</t>
  </si>
  <si>
    <t>Rad</t>
  </si>
  <si>
    <t>errore rad</t>
  </si>
  <si>
    <t>p</t>
  </si>
  <si>
    <t>p*d</t>
  </si>
  <si>
    <t>sum</t>
  </si>
  <si>
    <t>err</t>
  </si>
  <si>
    <t>err rel</t>
  </si>
  <si>
    <t>Compatibilità</t>
  </si>
  <si>
    <t>err media</t>
  </si>
  <si>
    <t>Diff</t>
  </si>
  <si>
    <t>z</t>
  </si>
  <si>
    <t>t</t>
  </si>
  <si>
    <t>beta</t>
  </si>
  <si>
    <t>error beta</t>
  </si>
  <si>
    <t>beta rad</t>
  </si>
  <si>
    <t>final d</t>
  </si>
  <si>
    <t>errore rel</t>
  </si>
  <si>
    <t>lambda (nano)</t>
  </si>
  <si>
    <t>Errore relativo</t>
  </si>
  <si>
    <t>lamda (m)</t>
  </si>
  <si>
    <t>lamda (nano)</t>
  </si>
  <si>
    <t>strano</t>
  </si>
  <si>
    <t>Fenditure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</si>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</sst>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E+00"/>
    <numFmt numFmtId="173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zoomScale="158" workbookViewId="0">
      <selection activeCell="A10" sqref="A10"/>
    </sheetView>
  </sheetViews>
  <sheetFormatPr defaultRowHeight="14.25" x14ac:dyDescent="0.45"/>
  <cols>
    <col min="29" max="30" width="10.3984375" bestFit="1" customWidth="1"/>
  </cols>
  <sheetData>
    <row r="1" spans="1:32" x14ac:dyDescent="0.45">
      <c r="A1" t="s">
        <v>0</v>
      </c>
    </row>
    <row r="3" spans="1:32" x14ac:dyDescent="0.45">
      <c r="A3" t="s">
        <v>1</v>
      </c>
      <c r="G3" t="s">
        <v>6</v>
      </c>
      <c r="M3" t="s">
        <v>7</v>
      </c>
    </row>
    <row r="4" spans="1:32" x14ac:dyDescent="0.45">
      <c r="A4" t="s">
        <v>2</v>
      </c>
      <c r="B4" t="s">
        <v>3</v>
      </c>
      <c r="C4" t="s">
        <v>4</v>
      </c>
      <c r="D4" t="s">
        <v>5</v>
      </c>
      <c r="E4" t="s">
        <v>10</v>
      </c>
      <c r="G4" t="s">
        <v>2</v>
      </c>
      <c r="H4" t="s">
        <v>3</v>
      </c>
      <c r="I4" t="s">
        <v>4</v>
      </c>
      <c r="J4" t="s">
        <v>5</v>
      </c>
      <c r="K4" t="s">
        <v>10</v>
      </c>
      <c r="M4" t="s">
        <v>2</v>
      </c>
      <c r="N4" t="s">
        <v>3</v>
      </c>
      <c r="O4" t="s">
        <v>4</v>
      </c>
      <c r="P4" t="s">
        <v>5</v>
      </c>
      <c r="Q4" t="s">
        <v>10</v>
      </c>
      <c r="S4" t="s">
        <v>8</v>
      </c>
      <c r="T4" t="s">
        <v>9</v>
      </c>
      <c r="U4" t="s">
        <v>11</v>
      </c>
      <c r="V4" t="s">
        <v>12</v>
      </c>
      <c r="W4" t="s">
        <v>13</v>
      </c>
      <c r="Y4" t="s">
        <v>14</v>
      </c>
      <c r="Z4" t="s">
        <v>12</v>
      </c>
      <c r="AA4" t="s">
        <v>13</v>
      </c>
      <c r="AC4" t="s">
        <v>16</v>
      </c>
      <c r="AD4" t="s">
        <v>15</v>
      </c>
      <c r="AE4" t="s">
        <v>17</v>
      </c>
      <c r="AF4" t="s">
        <v>18</v>
      </c>
    </row>
    <row r="5" spans="1:32" x14ac:dyDescent="0.45">
      <c r="A5">
        <v>130</v>
      </c>
      <c r="B5">
        <f>40+1</f>
        <v>41</v>
      </c>
      <c r="C5">
        <v>0</v>
      </c>
      <c r="D5">
        <v>1</v>
      </c>
      <c r="E5">
        <f>0.0175*(A5+B5/60)</f>
        <v>2.2869583333333336</v>
      </c>
      <c r="G5">
        <v>86</v>
      </c>
      <c r="H5">
        <f>20+13</f>
        <v>33</v>
      </c>
      <c r="I5">
        <v>4</v>
      </c>
      <c r="J5">
        <v>1</v>
      </c>
      <c r="K5">
        <f>0.0175*(G5+H5/60)</f>
        <v>1.5146250000000001</v>
      </c>
      <c r="M5">
        <v>175</v>
      </c>
      <c r="N5">
        <v>9</v>
      </c>
      <c r="O5">
        <v>4</v>
      </c>
      <c r="P5">
        <v>1</v>
      </c>
      <c r="Q5">
        <f>0.0175*(M5+N5/60)</f>
        <v>3.0651250000000005</v>
      </c>
      <c r="S5">
        <f>E5-K5</f>
        <v>0.77233333333333354</v>
      </c>
      <c r="T5">
        <f>Q5-E5</f>
        <v>0.7781666666666669</v>
      </c>
      <c r="U5">
        <f>(T5-S5)/2*COS(AVERAGE(S5:T5))/(1-COS(AVERAGE(S5:T5)))</f>
        <v>7.2902508599964532E-3</v>
      </c>
      <c r="V5">
        <f>U5/0.0175</f>
        <v>0.41658576342836873</v>
      </c>
      <c r="W5">
        <f>V5*60</f>
        <v>24.995145805702123</v>
      </c>
      <c r="Y5">
        <f>ATAN(SIN((T5-S5)/2)*(COS(AVERAGE(S5:T5))/(1-COS(AVERAGE(S5:T5))*COS((T5-S5)/2))))</f>
        <v>7.2900338728415382E-3</v>
      </c>
      <c r="Z5">
        <f>Y5/0.0175</f>
        <v>0.41657336416237356</v>
      </c>
      <c r="AA5">
        <f>Z5*60</f>
        <v>24.994401849742413</v>
      </c>
      <c r="AC5">
        <f t="shared" ref="AC5:AD7" si="0">S5/0.0175</f>
        <v>44.13333333333334</v>
      </c>
      <c r="AD5">
        <f t="shared" si="0"/>
        <v>44.466666666666676</v>
      </c>
      <c r="AE5">
        <f>AC5-AD5</f>
        <v>-0.3333333333333357</v>
      </c>
      <c r="AF5">
        <f>AE5*60</f>
        <v>-20.000000000000142</v>
      </c>
    </row>
    <row r="6" spans="1:32" x14ac:dyDescent="0.45">
      <c r="A6">
        <v>130</v>
      </c>
      <c r="B6">
        <v>40.5</v>
      </c>
      <c r="C6">
        <v>0</v>
      </c>
      <c r="D6">
        <v>0.5</v>
      </c>
      <c r="E6">
        <f>0.0175*(A6+B6/60)</f>
        <v>2.2868125000000004</v>
      </c>
      <c r="G6">
        <v>86</v>
      </c>
      <c r="H6">
        <v>30</v>
      </c>
      <c r="I6">
        <v>4</v>
      </c>
      <c r="J6">
        <v>0.5</v>
      </c>
      <c r="K6">
        <f>0.0175*(G6+H6/60)</f>
        <v>1.5137500000000002</v>
      </c>
      <c r="M6">
        <v>175</v>
      </c>
      <c r="N6">
        <v>4.5</v>
      </c>
      <c r="O6">
        <v>4</v>
      </c>
      <c r="P6">
        <v>0.5</v>
      </c>
      <c r="Q6">
        <f>0.0175*(M6+N6/60)</f>
        <v>3.0638125</v>
      </c>
      <c r="S6">
        <f>E6-K6</f>
        <v>0.77306250000000021</v>
      </c>
      <c r="T6">
        <f>Q6-E6</f>
        <v>0.77699999999999969</v>
      </c>
      <c r="U6">
        <f>(T6-S6)/2*COS(AVERAGE(S6:T6))/(1-COS(AVERAGE(S6:T6)))</f>
        <v>4.9246122612934982E-3</v>
      </c>
      <c r="V6">
        <f>U6/0.0175</f>
        <v>0.281406414931057</v>
      </c>
      <c r="W6">
        <f>V6*60</f>
        <v>16.88438489586342</v>
      </c>
      <c r="Y6">
        <f>ATAN(SIN((T6-S6)/2)*(COS(AVERAGE(S6:T6))/(1-COS(AVERAGE(S6:T6))*COS((T6-S6)/2))))</f>
        <v>4.9245453982696592E-3</v>
      </c>
      <c r="Z6">
        <f>Y6/0.0175</f>
        <v>0.28140259418683766</v>
      </c>
      <c r="AA6">
        <f>Z6*60</f>
        <v>16.884155651210261</v>
      </c>
      <c r="AC6">
        <f t="shared" si="0"/>
        <v>44.175000000000004</v>
      </c>
      <c r="AD6">
        <f t="shared" si="0"/>
        <v>44.399999999999977</v>
      </c>
      <c r="AE6">
        <f>AC6-AD6</f>
        <v>-0.224999999999973</v>
      </c>
      <c r="AF6">
        <f>AE6*60</f>
        <v>-13.49999999999838</v>
      </c>
    </row>
    <row r="7" spans="1:32" x14ac:dyDescent="0.45">
      <c r="A7">
        <v>130</v>
      </c>
      <c r="B7">
        <f>39.5</f>
        <v>39.5</v>
      </c>
      <c r="C7">
        <v>0</v>
      </c>
      <c r="D7">
        <v>0.5</v>
      </c>
      <c r="E7">
        <f>0.0175*(A7+B7/60)</f>
        <v>2.2865208333333333</v>
      </c>
      <c r="G7">
        <v>86</v>
      </c>
      <c r="H7">
        <v>22.5</v>
      </c>
      <c r="I7">
        <v>4</v>
      </c>
      <c r="J7">
        <v>0.5</v>
      </c>
      <c r="K7">
        <f>0.0175*(G7+H7/60)</f>
        <v>1.5115625000000001</v>
      </c>
      <c r="M7">
        <v>174</v>
      </c>
      <c r="N7">
        <v>58.5</v>
      </c>
      <c r="O7">
        <v>4</v>
      </c>
      <c r="P7">
        <v>0.5</v>
      </c>
      <c r="Q7">
        <f>0.0175*(M7+N7/60)</f>
        <v>3.0620625000000001</v>
      </c>
      <c r="S7">
        <f>E7-K7</f>
        <v>0.77495833333333319</v>
      </c>
      <c r="T7">
        <f>Q7-E7</f>
        <v>0.7755416666666668</v>
      </c>
      <c r="U7">
        <f>(T7-S7)/2*COS(AVERAGE(S7:T7))/(1-COS(AVERAGE(S7:T7)))</f>
        <v>7.2902508599997917E-4</v>
      </c>
      <c r="V7">
        <f>U7/0.0175</f>
        <v>4.1658576342855948E-2</v>
      </c>
      <c r="W7">
        <f>V7*60</f>
        <v>2.4995145805713568</v>
      </c>
      <c r="Y7">
        <f>ATAN(SIN((T7-S7)/2)*(COS(AVERAGE(S7:T7))/(1-COS(AVERAGE(S7:T7))*COS((T7-S7)/2))))</f>
        <v>7.2902486900314211E-4</v>
      </c>
      <c r="Z7">
        <f>Y7/0.0175</f>
        <v>4.1658563943036686E-2</v>
      </c>
      <c r="AA7">
        <f>Z7*60</f>
        <v>2.4995138365822012</v>
      </c>
      <c r="AC7">
        <f t="shared" si="0"/>
        <v>44.283333333333324</v>
      </c>
      <c r="AD7">
        <f t="shared" si="0"/>
        <v>44.31666666666667</v>
      </c>
      <c r="AE7">
        <f>AC7-AD7</f>
        <v>-3.3333333333345649E-2</v>
      </c>
      <c r="AF7">
        <f>AE7*60</f>
        <v>-2.000000000000739</v>
      </c>
    </row>
    <row r="9" spans="1:32" x14ac:dyDescent="0.45">
      <c r="A9" t="s">
        <v>19</v>
      </c>
    </row>
    <row r="10" spans="1:32" x14ac:dyDescent="0.45">
      <c r="A10">
        <v>2.4995138365822012</v>
      </c>
    </row>
    <row r="12" spans="1:32" x14ac:dyDescent="0.45">
      <c r="A12" t="s">
        <v>20</v>
      </c>
    </row>
    <row r="13" spans="1:32" x14ac:dyDescent="0.45">
      <c r="A13" t="s">
        <v>21</v>
      </c>
      <c r="B13" t="s">
        <v>3</v>
      </c>
      <c r="C13" t="s">
        <v>5</v>
      </c>
    </row>
    <row r="14" spans="1:32" x14ac:dyDescent="0.45">
      <c r="A14">
        <v>40</v>
      </c>
      <c r="B14">
        <v>14</v>
      </c>
      <c r="C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zoomScale="123" workbookViewId="0">
      <selection activeCell="B20" sqref="A20:B20"/>
    </sheetView>
  </sheetViews>
  <sheetFormatPr defaultRowHeight="14.25" x14ac:dyDescent="0.45"/>
  <cols>
    <col min="5" max="5" width="10.73046875" bestFit="1" customWidth="1"/>
    <col min="6" max="6" width="12.19921875" bestFit="1" customWidth="1"/>
    <col min="7" max="10" width="11.6640625" bestFit="1" customWidth="1"/>
    <col min="11" max="12" width="11.59765625" bestFit="1" customWidth="1"/>
    <col min="13" max="13" width="11.33203125" customWidth="1"/>
    <col min="14" max="15" width="11.6640625" bestFit="1" customWidth="1"/>
    <col min="16" max="16" width="11.796875" bestFit="1" customWidth="1"/>
    <col min="17" max="17" width="10.59765625" bestFit="1" customWidth="1"/>
  </cols>
  <sheetData>
    <row r="1" spans="1:11" x14ac:dyDescent="0.45">
      <c r="A1" t="s">
        <v>22</v>
      </c>
      <c r="E1" t="s">
        <v>38</v>
      </c>
    </row>
    <row r="2" spans="1:11" x14ac:dyDescent="0.45">
      <c r="A2" t="s">
        <v>2</v>
      </c>
      <c r="B2" t="s">
        <v>3</v>
      </c>
      <c r="C2" t="s">
        <v>4</v>
      </c>
      <c r="D2" t="s">
        <v>40</v>
      </c>
      <c r="E2" t="s">
        <v>40</v>
      </c>
      <c r="F2" t="s">
        <v>23</v>
      </c>
      <c r="G2" t="s">
        <v>5</v>
      </c>
      <c r="H2" t="s">
        <v>53</v>
      </c>
      <c r="J2" t="s">
        <v>42</v>
      </c>
      <c r="K2" t="s">
        <v>43</v>
      </c>
    </row>
    <row r="3" spans="1:11" x14ac:dyDescent="0.45">
      <c r="A3">
        <v>130</v>
      </c>
      <c r="B3">
        <f>39.5</f>
        <v>39.5</v>
      </c>
      <c r="C3">
        <v>0</v>
      </c>
      <c r="D3">
        <f>$B$18*(A3+B3/60)</f>
        <v>2.2804181118349245</v>
      </c>
      <c r="E3">
        <f>ABS(D3-$D$3)</f>
        <v>0</v>
      </c>
      <c r="F3" t="e">
        <f>ABS(C3*0.000000589/SIN(E3))</f>
        <v>#DIV/0!</v>
      </c>
      <c r="G3" t="e">
        <f>F3*(COS(E3)/SIN(E3))*$B$20</f>
        <v>#DIV/0!</v>
      </c>
      <c r="H3">
        <f>$B$22*ABS((1-COS(E3))/COS(E3))</f>
        <v>0</v>
      </c>
      <c r="I3" t="e">
        <f>SQRT(SUMSQ(G3:H3))</f>
        <v>#DIV/0!</v>
      </c>
      <c r="J3" t="e">
        <f>1/I3^2</f>
        <v>#DIV/0!</v>
      </c>
      <c r="K3" t="e">
        <f>J3*F3</f>
        <v>#DIV/0!</v>
      </c>
    </row>
    <row r="4" spans="1:11" x14ac:dyDescent="0.45">
      <c r="A4">
        <v>120</v>
      </c>
      <c r="B4">
        <v>37.5</v>
      </c>
      <c r="C4">
        <v>1</v>
      </c>
      <c r="D4">
        <f>$B$18*(A4+B4/60)</f>
        <v>2.10530341021816</v>
      </c>
      <c r="E4">
        <f t="shared" ref="E4:E14" si="0">ABS(D4-$D$3)</f>
        <v>0.17511470161676446</v>
      </c>
      <c r="F4">
        <f t="shared" ref="F4:F13" si="1">ABS(C4*0.000000589/SIN(E4))</f>
        <v>3.3807618407991213E-6</v>
      </c>
      <c r="G4">
        <f t="shared" ref="G4:G14" si="2">F4*(COS(E4)/SIN(E4))*$B$20</f>
        <v>2.3582131813346154E-8</v>
      </c>
      <c r="H4">
        <f t="shared" ref="H4:H14" si="3">$B$22*ABS((1-COS(E4))/COS(E4))</f>
        <v>1.1292236333362171E-5</v>
      </c>
      <c r="I4">
        <f t="shared" ref="I4:I14" si="4">SQRT(SUMSQ(G4:H4))</f>
        <v>1.1292260957197438E-5</v>
      </c>
      <c r="J4">
        <f t="shared" ref="J4:J14" si="5">1/I4^2</f>
        <v>7842204953.5597391</v>
      </c>
      <c r="K4">
        <f>J4*F4</f>
        <v>26512.62725472061</v>
      </c>
    </row>
    <row r="5" spans="1:11" x14ac:dyDescent="0.45">
      <c r="A5">
        <v>110</v>
      </c>
      <c r="B5">
        <v>13</v>
      </c>
      <c r="C5">
        <v>2</v>
      </c>
      <c r="D5">
        <f>$B$18*(A5+B5/60)</f>
        <v>1.923643723906417</v>
      </c>
      <c r="E5">
        <f t="shared" si="0"/>
        <v>0.35677438792850746</v>
      </c>
      <c r="F5">
        <f t="shared" si="1"/>
        <v>3.3729075817514629E-6</v>
      </c>
      <c r="G5">
        <f t="shared" si="2"/>
        <v>1.1168083395367495E-8</v>
      </c>
      <c r="H5">
        <f t="shared" si="3"/>
        <v>4.8862391500650069E-5</v>
      </c>
      <c r="I5">
        <f t="shared" si="4"/>
        <v>4.8862392776949502E-5</v>
      </c>
      <c r="J5">
        <f t="shared" si="5"/>
        <v>418842303.24022043</v>
      </c>
      <c r="K5">
        <f>J5*F5</f>
        <v>1412.7163801571849</v>
      </c>
    </row>
    <row r="6" spans="1:11" x14ac:dyDescent="0.45">
      <c r="A6">
        <v>99</v>
      </c>
      <c r="B6">
        <v>4</v>
      </c>
      <c r="C6">
        <v>3</v>
      </c>
      <c r="D6">
        <f>$B$18*(A6+B6/60)</f>
        <v>1.7290395123090492</v>
      </c>
      <c r="E6">
        <f>ABS(D6-$D$3)</f>
        <v>0.55137859952587531</v>
      </c>
      <c r="F6">
        <f t="shared" si="1"/>
        <v>3.3730255803599358E-6</v>
      </c>
      <c r="G6">
        <f t="shared" si="2"/>
        <v>6.7686853266554443E-9</v>
      </c>
      <c r="H6">
        <f t="shared" si="3"/>
        <v>1.2649735424243811E-4</v>
      </c>
      <c r="I6">
        <f>SQRT(SUMSQ(G6:H6))</f>
        <v>1.2649735442352925E-4</v>
      </c>
      <c r="J6">
        <f t="shared" si="5"/>
        <v>62493826.093715496</v>
      </c>
      <c r="K6">
        <f>J6*F6</f>
        <v>210.79327402866761</v>
      </c>
    </row>
    <row r="7" spans="1:11" x14ac:dyDescent="0.45">
      <c r="A7">
        <v>86</v>
      </c>
      <c r="B7">
        <v>21</v>
      </c>
      <c r="C7">
        <v>4</v>
      </c>
      <c r="D7">
        <f>$B$18*(A7+B7/60)</f>
        <v>1.5070918090971035</v>
      </c>
      <c r="E7">
        <f t="shared" si="0"/>
        <v>0.77332630273782099</v>
      </c>
      <c r="F7">
        <f t="shared" si="1"/>
        <v>3.3728484802173879E-6</v>
      </c>
      <c r="G7">
        <f t="shared" si="2"/>
        <v>4.2642799186362568E-9</v>
      </c>
      <c r="H7">
        <f t="shared" si="3"/>
        <v>2.8897469694664954E-4</v>
      </c>
      <c r="I7">
        <f t="shared" si="4"/>
        <v>2.8897469697811265E-4</v>
      </c>
      <c r="J7">
        <f t="shared" si="5"/>
        <v>11975133.564223923</v>
      </c>
      <c r="K7">
        <f>J7*F7</f>
        <v>40.39031104249289</v>
      </c>
    </row>
    <row r="8" spans="1:11" x14ac:dyDescent="0.45">
      <c r="A8">
        <v>69</v>
      </c>
      <c r="B8">
        <v>50</v>
      </c>
      <c r="C8">
        <v>5</v>
      </c>
      <c r="D8">
        <f>$B$18*(A8+B8/60)</f>
        <v>1.2188215943093734</v>
      </c>
      <c r="E8">
        <f t="shared" si="0"/>
        <v>1.0615965175255511</v>
      </c>
      <c r="F8">
        <f t="shared" si="1"/>
        <v>3.3729039172049858E-6</v>
      </c>
      <c r="G8">
        <f t="shared" si="2"/>
        <v>2.3240243813811212E-9</v>
      </c>
      <c r="H8">
        <f t="shared" si="3"/>
        <v>7.644302902594022E-4</v>
      </c>
      <c r="I8">
        <f t="shared" si="4"/>
        <v>7.6443029026293497E-4</v>
      </c>
      <c r="J8">
        <f t="shared" si="5"/>
        <v>1711292.4135027588</v>
      </c>
      <c r="K8">
        <f>J8*F8</f>
        <v>5.7720248849866298</v>
      </c>
    </row>
    <row r="9" spans="1:11" x14ac:dyDescent="0.45">
      <c r="A9">
        <v>162</v>
      </c>
      <c r="B9">
        <v>14</v>
      </c>
      <c r="C9">
        <v>-3</v>
      </c>
      <c r="D9">
        <f>$B$18*(A9+B9/60)</f>
        <v>2.8315058231521339</v>
      </c>
      <c r="E9">
        <f t="shared" si="0"/>
        <v>0.55108771131720946</v>
      </c>
      <c r="F9">
        <f t="shared" si="1"/>
        <v>3.3746218725663698E-6</v>
      </c>
      <c r="G9">
        <f t="shared" si="2"/>
        <v>6.7763051940886971E-9</v>
      </c>
      <c r="H9">
        <f>$B$22*ABS((1-COS(E9))/COS(E9))</f>
        <v>1.2634471513051985E-4</v>
      </c>
      <c r="I9">
        <f t="shared" si="4"/>
        <v>1.263447153122382E-4</v>
      </c>
      <c r="J9">
        <f t="shared" si="5"/>
        <v>62644916.927463949</v>
      </c>
      <c r="K9">
        <f>J9*F9</f>
        <v>211.40290686852308</v>
      </c>
    </row>
    <row r="10" spans="1:11" x14ac:dyDescent="0.45">
      <c r="A10">
        <v>174</v>
      </c>
      <c r="B10">
        <v>57</v>
      </c>
      <c r="C10">
        <v>-4</v>
      </c>
      <c r="D10">
        <f>$B$18*(A10+B10/60)</f>
        <v>3.0534535263640792</v>
      </c>
      <c r="E10">
        <f t="shared" si="0"/>
        <v>0.7730354145291547</v>
      </c>
      <c r="F10">
        <f t="shared" si="1"/>
        <v>3.3738540230091617E-6</v>
      </c>
      <c r="G10">
        <f t="shared" si="2"/>
        <v>4.268034283271938E-9</v>
      </c>
      <c r="H10">
        <f t="shared" si="3"/>
        <v>2.8868631483611087E-4</v>
      </c>
      <c r="I10">
        <f t="shared" si="4"/>
        <v>2.8868631486766088E-4</v>
      </c>
      <c r="J10">
        <f t="shared" si="5"/>
        <v>11999070.543567033</v>
      </c>
      <c r="K10">
        <f>J10*F10</f>
        <v>40.483112425784363</v>
      </c>
    </row>
    <row r="11" spans="1:11" x14ac:dyDescent="0.45">
      <c r="A11">
        <v>191</v>
      </c>
      <c r="B11">
        <v>25.5</v>
      </c>
      <c r="C11">
        <v>-5</v>
      </c>
      <c r="D11">
        <f>$B$18*(A11+B11/60)</f>
        <v>3.3409965206301457</v>
      </c>
      <c r="E11">
        <f t="shared" si="0"/>
        <v>1.0605784087952213</v>
      </c>
      <c r="F11">
        <f t="shared" si="1"/>
        <v>3.3748239796519792E-6</v>
      </c>
      <c r="G11">
        <f t="shared" si="2"/>
        <v>2.3309127025346272E-9</v>
      </c>
      <c r="H11">
        <f t="shared" si="3"/>
        <v>7.6171615632466801E-4</v>
      </c>
      <c r="I11">
        <f t="shared" si="4"/>
        <v>7.6171615632823438E-4</v>
      </c>
      <c r="J11">
        <f t="shared" si="5"/>
        <v>1723509.4360494812</v>
      </c>
      <c r="K11">
        <f>J11*F11</f>
        <v>5.8165409739362479</v>
      </c>
    </row>
    <row r="12" spans="1:11" x14ac:dyDescent="0.45">
      <c r="A12">
        <v>162</v>
      </c>
      <c r="B12">
        <v>13</v>
      </c>
      <c r="C12">
        <v>-3</v>
      </c>
      <c r="D12">
        <f>$B$18*(A12+B12/60)</f>
        <v>2.8312149349434681</v>
      </c>
      <c r="E12">
        <f t="shared" si="0"/>
        <v>0.55079682310854361</v>
      </c>
      <c r="F12">
        <f t="shared" si="1"/>
        <v>3.3762199622035036E-6</v>
      </c>
      <c r="G12">
        <f t="shared" si="2"/>
        <v>6.7839370361170832E-9</v>
      </c>
      <c r="H12">
        <f t="shared" si="3"/>
        <v>1.2619220278706507E-4</v>
      </c>
      <c r="I12">
        <f t="shared" si="4"/>
        <v>1.261922029694131E-4</v>
      </c>
      <c r="J12">
        <f>1/I12^2</f>
        <v>62796430.194429256</v>
      </c>
      <c r="K12">
        <f>J12*F12</f>
        <v>212.01456117755089</v>
      </c>
    </row>
    <row r="13" spans="1:11" x14ac:dyDescent="0.45">
      <c r="A13">
        <v>174</v>
      </c>
      <c r="B13">
        <v>55</v>
      </c>
      <c r="C13">
        <v>-4</v>
      </c>
      <c r="D13">
        <f>$B$18*(A13+B13/60)</f>
        <v>3.0528717499467479</v>
      </c>
      <c r="E13">
        <f t="shared" si="0"/>
        <v>0.77245363811182344</v>
      </c>
      <c r="F13">
        <f t="shared" si="1"/>
        <v>3.3758677657353678E-6</v>
      </c>
      <c r="G13">
        <f t="shared" si="2"/>
        <v>4.2755552661154886E-9</v>
      </c>
      <c r="H13">
        <f t="shared" si="3"/>
        <v>2.8811029901962704E-4</v>
      </c>
      <c r="I13">
        <f t="shared" si="4"/>
        <v>2.8811029905135167E-4</v>
      </c>
      <c r="J13">
        <f t="shared" si="5"/>
        <v>12047097.730619917</v>
      </c>
      <c r="K13">
        <f>J13*F13</f>
        <v>40.669408899463477</v>
      </c>
    </row>
    <row r="14" spans="1:11" x14ac:dyDescent="0.45">
      <c r="A14">
        <v>191</v>
      </c>
      <c r="B14">
        <v>24</v>
      </c>
      <c r="C14">
        <v>-5</v>
      </c>
      <c r="D14">
        <f>$B$18*(A14+B14/60)</f>
        <v>3.3405601883171467</v>
      </c>
      <c r="E14">
        <f t="shared" si="0"/>
        <v>1.0601420764822223</v>
      </c>
      <c r="F14">
        <f>ABS(C14*0.000000589/SIN(E14))</f>
        <v>3.3756486044189603E-6</v>
      </c>
      <c r="G14">
        <f t="shared" si="2"/>
        <v>2.3338699240601606E-9</v>
      </c>
      <c r="H14">
        <f t="shared" si="3"/>
        <v>7.6055644908090659E-4</v>
      </c>
      <c r="I14">
        <f t="shared" si="4"/>
        <v>7.6055644908448749E-4</v>
      </c>
      <c r="J14">
        <f t="shared" si="5"/>
        <v>1728769.5064984243</v>
      </c>
      <c r="K14">
        <f>J14*F14</f>
        <v>5.8357183719734609</v>
      </c>
    </row>
    <row r="15" spans="1:11" x14ac:dyDescent="0.45">
      <c r="G15" t="s">
        <v>44</v>
      </c>
      <c r="J15">
        <f>SUM(J4:J14)</f>
        <v>8490167303.2100296</v>
      </c>
      <c r="K15">
        <f>SUM(K4:K14)</f>
        <v>28698.521493551176</v>
      </c>
    </row>
    <row r="16" spans="1:11" x14ac:dyDescent="0.45">
      <c r="A16" t="s">
        <v>36</v>
      </c>
    </row>
    <row r="17" spans="1:17" x14ac:dyDescent="0.45">
      <c r="F17" t="s">
        <v>23</v>
      </c>
      <c r="G17" t="s">
        <v>45</v>
      </c>
      <c r="H17" t="s">
        <v>48</v>
      </c>
      <c r="I17" t="s">
        <v>46</v>
      </c>
      <c r="K17" t="s">
        <v>55</v>
      </c>
      <c r="L17" t="s">
        <v>5</v>
      </c>
      <c r="M17" t="s">
        <v>56</v>
      </c>
    </row>
    <row r="18" spans="1:17" x14ac:dyDescent="0.45">
      <c r="A18" t="s">
        <v>37</v>
      </c>
      <c r="B18">
        <f>PI()/180</f>
        <v>1.7453292519943295E-2</v>
      </c>
      <c r="F18">
        <f>K15/J15</f>
        <v>3.3802068285156894E-6</v>
      </c>
      <c r="G18">
        <f>MAX(G4:G14)</f>
        <v>2.3582131813346154E-8</v>
      </c>
      <c r="H18">
        <f>G18/SQRT(COUNT(K4:K14))</f>
        <v>7.1102802710520539E-9</v>
      </c>
      <c r="I18">
        <f>H18/F18</f>
        <v>2.1035044989168037E-3</v>
      </c>
      <c r="K18">
        <f>AVERAGE(F18,F21)</f>
        <v>3.3755417620470787E-6</v>
      </c>
      <c r="L18">
        <f>G18</f>
        <v>2.3582131813346154E-8</v>
      </c>
      <c r="M18" s="2">
        <f>L18/K18</f>
        <v>6.9861768793655511E-3</v>
      </c>
    </row>
    <row r="19" spans="1:17" x14ac:dyDescent="0.45">
      <c r="A19" t="s">
        <v>5</v>
      </c>
      <c r="B19">
        <v>3</v>
      </c>
    </row>
    <row r="20" spans="1:17" x14ac:dyDescent="0.45">
      <c r="A20" t="s">
        <v>41</v>
      </c>
      <c r="B20">
        <f>B19*(B18/60)*SQRT(2)</f>
        <v>1.2341341494884351E-3</v>
      </c>
      <c r="F20" t="s">
        <v>23</v>
      </c>
      <c r="G20" t="s">
        <v>45</v>
      </c>
      <c r="H20" t="s">
        <v>48</v>
      </c>
      <c r="I20" t="s">
        <v>46</v>
      </c>
    </row>
    <row r="21" spans="1:17" x14ac:dyDescent="0.45">
      <c r="A21" t="s">
        <v>52</v>
      </c>
      <c r="B21">
        <v>2.4995138365822012</v>
      </c>
      <c r="F21">
        <v>3.3708766955784685E-6</v>
      </c>
      <c r="G21">
        <v>2.3464436119412247E-8</v>
      </c>
      <c r="H21">
        <v>7.0747936841230292E-9</v>
      </c>
      <c r="I21">
        <v>2.0987993103998544E-3</v>
      </c>
    </row>
    <row r="22" spans="1:17" x14ac:dyDescent="0.45">
      <c r="A22" t="s">
        <v>54</v>
      </c>
      <c r="B22">
        <f>B21*B18/60</f>
        <v>7.2707910245858171E-4</v>
      </c>
    </row>
    <row r="23" spans="1:17" x14ac:dyDescent="0.45">
      <c r="F23" t="s">
        <v>47</v>
      </c>
    </row>
    <row r="24" spans="1:17" x14ac:dyDescent="0.45">
      <c r="F24" t="s">
        <v>49</v>
      </c>
      <c r="G24" t="s">
        <v>50</v>
      </c>
      <c r="H24" t="s">
        <v>51</v>
      </c>
    </row>
    <row r="25" spans="1:17" x14ac:dyDescent="0.45">
      <c r="F25">
        <f>-F21+F18</f>
        <v>9.3301329372208801E-9</v>
      </c>
      <c r="G25">
        <f>F25/SQRT(G18^2+G21^2)</f>
        <v>0.28046167508457209</v>
      </c>
      <c r="H25">
        <f>F25/SQRT(H18^2+H21^2)</f>
        <v>0.93018614433009328</v>
      </c>
    </row>
    <row r="28" spans="1:17" x14ac:dyDescent="0.45">
      <c r="G28">
        <f t="array" ref="G28:Q28">TRANSPOSE(E30:E40)</f>
        <v>1.667508532005208E-8</v>
      </c>
      <c r="H28">
        <v>7.8970275017212371E-9</v>
      </c>
      <c r="I28">
        <v>4.7861832941959461E-9</v>
      </c>
      <c r="J28">
        <v>3.0153012473453165E-9</v>
      </c>
      <c r="K28">
        <v>1.6433333997174618E-9</v>
      </c>
      <c r="L28">
        <v>4.7915713541297412E-9</v>
      </c>
      <c r="M28">
        <v>3.0179559840382532E-9</v>
      </c>
      <c r="N28">
        <v>1.6482041783160968E-9</v>
      </c>
      <c r="O28">
        <v>4.7969678813809581E-9</v>
      </c>
      <c r="P28">
        <v>3.0232741220081156E-9</v>
      </c>
      <c r="Q28">
        <v>1.650295249710272E-9</v>
      </c>
    </row>
    <row r="29" spans="1:17" x14ac:dyDescent="0.45">
      <c r="G29">
        <v>3.3807618407991213E-6</v>
      </c>
      <c r="H29">
        <v>3.3729075817514629E-6</v>
      </c>
      <c r="I29">
        <v>3.3730255803599358E-6</v>
      </c>
      <c r="J29">
        <v>3.3728484802173879E-6</v>
      </c>
      <c r="K29">
        <v>3.3729039172049858E-6</v>
      </c>
      <c r="L29">
        <v>3.3746218725663698E-6</v>
      </c>
      <c r="M29">
        <v>3.3738540230091617E-6</v>
      </c>
      <c r="N29">
        <v>3.3748239796519792E-6</v>
      </c>
      <c r="O29">
        <v>3.3762199622035036E-6</v>
      </c>
      <c r="P29">
        <v>3.3758677657353678E-6</v>
      </c>
      <c r="Q29">
        <v>3.3756486044189603E-6</v>
      </c>
    </row>
    <row r="30" spans="1:17" x14ac:dyDescent="0.45">
      <c r="E30">
        <v>1.667508532005208E-8</v>
      </c>
      <c r="F30">
        <v>3.3807618407991213E-6</v>
      </c>
      <c r="G30">
        <f>ABS($F30-G$29)/SQRT($E30^2+G$28^2)</f>
        <v>0</v>
      </c>
      <c r="H30">
        <f>ABS($F30-H$29)/SQRT($E30^2+H$28^2)</f>
        <v>0.42569320867012161</v>
      </c>
      <c r="I30">
        <f t="shared" ref="I30:Q40" si="6">ABS($F30-I$29)/SQRT($E30^2+I$28^2)</f>
        <v>0.44593580953107859</v>
      </c>
      <c r="J30">
        <f t="shared" si="6"/>
        <v>0.46698846987681991</v>
      </c>
      <c r="K30">
        <f t="shared" si="6"/>
        <v>0.46896555620486158</v>
      </c>
      <c r="L30">
        <f t="shared" si="6"/>
        <v>0.35389152369581617</v>
      </c>
      <c r="M30">
        <f t="shared" si="6"/>
        <v>0.40763734495422038</v>
      </c>
      <c r="N30">
        <f t="shared" si="6"/>
        <v>0.35436496916071675</v>
      </c>
      <c r="O30">
        <f t="shared" si="6"/>
        <v>0.26175936806597538</v>
      </c>
      <c r="P30">
        <f t="shared" si="6"/>
        <v>0.28878818674942092</v>
      </c>
      <c r="Q30">
        <f t="shared" si="6"/>
        <v>0.30514852938897463</v>
      </c>
    </row>
    <row r="31" spans="1:17" x14ac:dyDescent="0.45">
      <c r="E31">
        <v>7.8970275017212371E-9</v>
      </c>
      <c r="F31">
        <v>3.3729075817514629E-6</v>
      </c>
      <c r="G31">
        <f t="shared" ref="G31:H40" si="7">ABS($F31-G$29)/SQRT($E31^2+G$28^2)</f>
        <v>0.42569320867012161</v>
      </c>
      <c r="H31">
        <f t="shared" si="7"/>
        <v>0</v>
      </c>
      <c r="I31">
        <f t="shared" si="6"/>
        <v>1.2778422458507481E-2</v>
      </c>
      <c r="J31">
        <f t="shared" si="6"/>
        <v>6.9916903166704668E-3</v>
      </c>
      <c r="K31">
        <f t="shared" si="6"/>
        <v>4.5430888395079104E-4</v>
      </c>
      <c r="L31">
        <f t="shared" si="6"/>
        <v>0.18558953225747046</v>
      </c>
      <c r="M31">
        <f t="shared" si="6"/>
        <v>0.11195111560382295</v>
      </c>
      <c r="N31">
        <f t="shared" si="6"/>
        <v>0.23755445583020959</v>
      </c>
      <c r="O31">
        <f t="shared" si="6"/>
        <v>0.35849040808446847</v>
      </c>
      <c r="P31">
        <f t="shared" si="6"/>
        <v>0.35007079025336851</v>
      </c>
      <c r="Q31">
        <f t="shared" si="6"/>
        <v>0.33975597940357422</v>
      </c>
    </row>
    <row r="32" spans="1:17" x14ac:dyDescent="0.45">
      <c r="E32">
        <v>4.7861832941959461E-9</v>
      </c>
      <c r="F32">
        <v>3.3730255803599358E-6</v>
      </c>
      <c r="G32">
        <f t="shared" si="7"/>
        <v>0.44593580953107859</v>
      </c>
      <c r="H32">
        <f t="shared" si="7"/>
        <v>1.2778422458507481E-2</v>
      </c>
      <c r="I32">
        <f t="shared" si="6"/>
        <v>0</v>
      </c>
      <c r="J32">
        <f t="shared" si="6"/>
        <v>3.1307377453912502E-2</v>
      </c>
      <c r="K32">
        <f t="shared" si="6"/>
        <v>2.4041991351989245E-2</v>
      </c>
      <c r="L32">
        <f t="shared" si="6"/>
        <v>0.23570218840643975</v>
      </c>
      <c r="M32">
        <f t="shared" si="6"/>
        <v>0.14641364955931729</v>
      </c>
      <c r="N32">
        <f t="shared" si="6"/>
        <v>0.35527248954719937</v>
      </c>
      <c r="O32">
        <f t="shared" si="6"/>
        <v>0.47140394460795365</v>
      </c>
      <c r="P32">
        <f t="shared" si="6"/>
        <v>0.50205779789236127</v>
      </c>
      <c r="Q32">
        <f t="shared" si="6"/>
        <v>0.51810679424240158</v>
      </c>
    </row>
    <row r="33" spans="5:17" x14ac:dyDescent="0.45">
      <c r="E33">
        <v>3.0153012473453165E-9</v>
      </c>
      <c r="F33">
        <v>3.3728484802173879E-6</v>
      </c>
      <c r="G33">
        <f t="shared" si="7"/>
        <v>0.46698846987681991</v>
      </c>
      <c r="H33">
        <f t="shared" si="7"/>
        <v>6.9916903166704668E-3</v>
      </c>
      <c r="I33">
        <f t="shared" si="6"/>
        <v>3.1307377453912502E-2</v>
      </c>
      <c r="J33">
        <f t="shared" si="6"/>
        <v>0</v>
      </c>
      <c r="K33">
        <f t="shared" si="6"/>
        <v>1.6143403125765895E-2</v>
      </c>
      <c r="L33">
        <f t="shared" si="6"/>
        <v>0.31324395538439842</v>
      </c>
      <c r="M33">
        <f t="shared" si="6"/>
        <v>0.23570221879659517</v>
      </c>
      <c r="N33">
        <f t="shared" si="6"/>
        <v>0.57488021376376774</v>
      </c>
      <c r="O33">
        <f t="shared" si="6"/>
        <v>0.59504309969341207</v>
      </c>
      <c r="P33">
        <f t="shared" si="6"/>
        <v>0.70710565742118514</v>
      </c>
      <c r="Q33">
        <f t="shared" si="6"/>
        <v>0.81461227219297949</v>
      </c>
    </row>
    <row r="34" spans="5:17" x14ac:dyDescent="0.45">
      <c r="E34">
        <v>1.6433333997174618E-9</v>
      </c>
      <c r="F34">
        <v>3.3729039172049858E-6</v>
      </c>
      <c r="G34">
        <f t="shared" si="7"/>
        <v>0.46896555620486158</v>
      </c>
      <c r="H34">
        <f t="shared" si="7"/>
        <v>4.5430888395079104E-4</v>
      </c>
      <c r="I34">
        <f t="shared" si="6"/>
        <v>2.4041991351989245E-2</v>
      </c>
      <c r="J34">
        <f t="shared" si="6"/>
        <v>1.6143403125765895E-2</v>
      </c>
      <c r="K34">
        <f t="shared" si="6"/>
        <v>0</v>
      </c>
      <c r="L34">
        <f t="shared" si="6"/>
        <v>0.33914551792770253</v>
      </c>
      <c r="M34">
        <f t="shared" si="6"/>
        <v>0.27648572304277641</v>
      </c>
      <c r="N34">
        <f t="shared" si="6"/>
        <v>0.82495651826552696</v>
      </c>
      <c r="O34">
        <f t="shared" si="6"/>
        <v>0.65396900963935189</v>
      </c>
      <c r="P34">
        <f t="shared" si="6"/>
        <v>0.86132439162361685</v>
      </c>
      <c r="Q34">
        <f t="shared" si="6"/>
        <v>1.1785072406398447</v>
      </c>
    </row>
    <row r="35" spans="5:17" x14ac:dyDescent="0.45">
      <c r="E35">
        <v>4.7915713541297412E-9</v>
      </c>
      <c r="F35">
        <v>3.3746218725663698E-6</v>
      </c>
      <c r="G35">
        <f t="shared" si="7"/>
        <v>0.35389152369581617</v>
      </c>
      <c r="H35">
        <f t="shared" si="7"/>
        <v>0.18558953225747046</v>
      </c>
      <c r="I35">
        <f t="shared" si="6"/>
        <v>0.23570218840643975</v>
      </c>
      <c r="J35">
        <f t="shared" si="6"/>
        <v>0.31324395538439842</v>
      </c>
      <c r="K35">
        <f t="shared" si="6"/>
        <v>0.33914551792770253</v>
      </c>
      <c r="L35">
        <f t="shared" si="6"/>
        <v>0</v>
      </c>
      <c r="M35">
        <f t="shared" si="6"/>
        <v>0.1355955761226291</v>
      </c>
      <c r="N35">
        <f t="shared" si="6"/>
        <v>3.988596590618379E-2</v>
      </c>
      <c r="O35">
        <f t="shared" si="6"/>
        <v>0.23570218833885204</v>
      </c>
      <c r="P35">
        <f t="shared" si="6"/>
        <v>0.21990380123742656</v>
      </c>
      <c r="Q35">
        <f t="shared" si="6"/>
        <v>0.20259899378563037</v>
      </c>
    </row>
    <row r="36" spans="5:17" x14ac:dyDescent="0.45">
      <c r="E36">
        <v>3.0179559840382532E-9</v>
      </c>
      <c r="F36">
        <v>3.3738540230091617E-6</v>
      </c>
      <c r="G36">
        <f t="shared" si="7"/>
        <v>0.40763734495422038</v>
      </c>
      <c r="H36">
        <f t="shared" si="7"/>
        <v>0.11195111560382295</v>
      </c>
      <c r="I36">
        <f t="shared" si="6"/>
        <v>0.14641364955931729</v>
      </c>
      <c r="J36">
        <f t="shared" si="6"/>
        <v>0.23570221879659517</v>
      </c>
      <c r="K36">
        <f t="shared" si="6"/>
        <v>0.27648572304277641</v>
      </c>
      <c r="L36">
        <f t="shared" si="6"/>
        <v>0.1355955761226291</v>
      </c>
      <c r="M36">
        <f t="shared" si="6"/>
        <v>0</v>
      </c>
      <c r="N36">
        <f t="shared" si="6"/>
        <v>0.28207100348670083</v>
      </c>
      <c r="O36">
        <f t="shared" si="6"/>
        <v>0.4174676692074189</v>
      </c>
      <c r="P36">
        <f t="shared" si="6"/>
        <v>0.4714041877363685</v>
      </c>
      <c r="Q36">
        <f t="shared" si="6"/>
        <v>0.52172621577590861</v>
      </c>
    </row>
    <row r="37" spans="5:17" x14ac:dyDescent="0.45">
      <c r="E37">
        <v>1.6482041783160968E-9</v>
      </c>
      <c r="F37">
        <v>3.3748239796519792E-6</v>
      </c>
      <c r="G37">
        <f t="shared" si="7"/>
        <v>0.35436496916071675</v>
      </c>
      <c r="H37">
        <f t="shared" si="7"/>
        <v>0.23755445583020959</v>
      </c>
      <c r="I37">
        <f t="shared" si="6"/>
        <v>0.35527248954719937</v>
      </c>
      <c r="J37">
        <f t="shared" si="6"/>
        <v>0.57488021376376774</v>
      </c>
      <c r="K37">
        <f t="shared" si="6"/>
        <v>0.82495651826552696</v>
      </c>
      <c r="L37">
        <f t="shared" si="6"/>
        <v>3.988596590618379E-2</v>
      </c>
      <c r="M37">
        <f t="shared" si="6"/>
        <v>0.28207100348670083</v>
      </c>
      <c r="N37">
        <f t="shared" si="6"/>
        <v>0</v>
      </c>
      <c r="O37">
        <f t="shared" si="6"/>
        <v>0.27522088270089529</v>
      </c>
      <c r="P37">
        <f t="shared" si="6"/>
        <v>0.30312965470280734</v>
      </c>
      <c r="Q37">
        <f t="shared" si="6"/>
        <v>0.35355328095098093</v>
      </c>
    </row>
    <row r="38" spans="5:17" x14ac:dyDescent="0.45">
      <c r="E38">
        <v>4.7969678813809581E-9</v>
      </c>
      <c r="F38">
        <v>3.3762199622035036E-6</v>
      </c>
      <c r="G38">
        <f t="shared" si="7"/>
        <v>0.26175936806597538</v>
      </c>
      <c r="H38">
        <f t="shared" si="7"/>
        <v>0.35849040808446847</v>
      </c>
      <c r="I38">
        <f t="shared" si="6"/>
        <v>0.47140394460795365</v>
      </c>
      <c r="J38">
        <f t="shared" si="6"/>
        <v>0.59504309969341207</v>
      </c>
      <c r="K38">
        <f t="shared" si="6"/>
        <v>0.65396900963935189</v>
      </c>
      <c r="L38">
        <f t="shared" si="6"/>
        <v>0.23570218833885204</v>
      </c>
      <c r="M38">
        <f t="shared" si="6"/>
        <v>0.4174676692074189</v>
      </c>
      <c r="N38">
        <f t="shared" si="6"/>
        <v>0.27522088270089529</v>
      </c>
      <c r="O38">
        <f t="shared" si="6"/>
        <v>0</v>
      </c>
      <c r="P38">
        <f t="shared" si="6"/>
        <v>6.2113666276308564E-2</v>
      </c>
      <c r="Q38">
        <f t="shared" si="6"/>
        <v>0.11262928679340921</v>
      </c>
    </row>
    <row r="39" spans="5:17" x14ac:dyDescent="0.45">
      <c r="E39">
        <v>3.0232741220081156E-9</v>
      </c>
      <c r="F39">
        <v>3.3758677657353678E-6</v>
      </c>
      <c r="G39">
        <f t="shared" si="7"/>
        <v>0.28878818674942092</v>
      </c>
      <c r="H39">
        <f t="shared" si="7"/>
        <v>0.35007079025336851</v>
      </c>
      <c r="I39">
        <f t="shared" si="6"/>
        <v>0.50205779789236127</v>
      </c>
      <c r="J39">
        <f t="shared" si="6"/>
        <v>0.70710565742118514</v>
      </c>
      <c r="K39">
        <f t="shared" si="6"/>
        <v>0.86132439162361685</v>
      </c>
      <c r="L39">
        <f t="shared" si="6"/>
        <v>0.21990380123742656</v>
      </c>
      <c r="M39">
        <f t="shared" si="6"/>
        <v>0.4714041877363685</v>
      </c>
      <c r="N39">
        <f t="shared" si="6"/>
        <v>0.30312965470280734</v>
      </c>
      <c r="O39">
        <f t="shared" si="6"/>
        <v>6.2113666276308564E-2</v>
      </c>
      <c r="P39">
        <f t="shared" si="6"/>
        <v>0</v>
      </c>
      <c r="Q39">
        <f t="shared" si="6"/>
        <v>6.3628918169695056E-2</v>
      </c>
    </row>
    <row r="40" spans="5:17" x14ac:dyDescent="0.45">
      <c r="E40">
        <v>1.650295249710272E-9</v>
      </c>
      <c r="F40">
        <v>3.3756486044189603E-6</v>
      </c>
      <c r="G40">
        <f t="shared" si="7"/>
        <v>0.30514852938897463</v>
      </c>
      <c r="H40">
        <f t="shared" si="7"/>
        <v>0.33975597940357422</v>
      </c>
      <c r="I40">
        <f t="shared" si="6"/>
        <v>0.51810679424240158</v>
      </c>
      <c r="J40">
        <f t="shared" si="6"/>
        <v>0.81461227219297949</v>
      </c>
      <c r="K40">
        <f t="shared" si="6"/>
        <v>1.1785072406398447</v>
      </c>
      <c r="L40">
        <f t="shared" si="6"/>
        <v>0.20259899378563037</v>
      </c>
      <c r="M40">
        <f t="shared" si="6"/>
        <v>0.52172621577590861</v>
      </c>
      <c r="N40">
        <f t="shared" si="6"/>
        <v>0.35355328095098093</v>
      </c>
      <c r="O40">
        <f t="shared" si="6"/>
        <v>0.11262928679340921</v>
      </c>
      <c r="P40">
        <f t="shared" si="6"/>
        <v>6.3628918169695056E-2</v>
      </c>
      <c r="Q40">
        <f t="shared" si="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opLeftCell="A9" zoomScale="181" workbookViewId="0">
      <selection activeCell="F17" sqref="F17:I18"/>
    </sheetView>
  </sheetViews>
  <sheetFormatPr defaultRowHeight="14.25" x14ac:dyDescent="0.45"/>
  <cols>
    <col min="6" max="6" width="14.265625" customWidth="1"/>
    <col min="7" max="7" width="11.6640625" bestFit="1" customWidth="1"/>
    <col min="8" max="10" width="11.59765625" bestFit="1" customWidth="1"/>
    <col min="11" max="11" width="10.59765625" bestFit="1" customWidth="1"/>
    <col min="12" max="12" width="11.6640625" bestFit="1" customWidth="1"/>
    <col min="13" max="13" width="11.796875" bestFit="1" customWidth="1"/>
    <col min="14" max="14" width="11.6640625" bestFit="1" customWidth="1"/>
    <col min="15" max="17" width="11.59765625" bestFit="1" customWidth="1"/>
    <col min="18" max="18" width="9.1328125" bestFit="1" customWidth="1"/>
  </cols>
  <sheetData>
    <row r="1" spans="1:13" x14ac:dyDescent="0.45">
      <c r="A1" t="s">
        <v>22</v>
      </c>
      <c r="E1" t="s">
        <v>38</v>
      </c>
    </row>
    <row r="2" spans="1:13" x14ac:dyDescent="0.45">
      <c r="A2" t="s">
        <v>2</v>
      </c>
      <c r="B2" t="s">
        <v>3</v>
      </c>
      <c r="C2" t="s">
        <v>4</v>
      </c>
      <c r="D2" t="s">
        <v>40</v>
      </c>
      <c r="E2" t="s">
        <v>40</v>
      </c>
      <c r="F2" t="s">
        <v>23</v>
      </c>
      <c r="G2" t="s">
        <v>5</v>
      </c>
      <c r="H2" t="s">
        <v>42</v>
      </c>
      <c r="I2" t="s">
        <v>43</v>
      </c>
    </row>
    <row r="3" spans="1:13" x14ac:dyDescent="0.45">
      <c r="A3">
        <v>130</v>
      </c>
      <c r="B3">
        <f>39.5</f>
        <v>39.5</v>
      </c>
      <c r="C3">
        <v>0</v>
      </c>
      <c r="D3">
        <f>$B$18*(A3+B3/60)</f>
        <v>2.2804181118349245</v>
      </c>
      <c r="E3">
        <f>ABS(D3-$D$3)</f>
        <v>0</v>
      </c>
      <c r="F3" t="e">
        <f>ABS(C3*0.000000589/SIN(E3))</f>
        <v>#DIV/0!</v>
      </c>
      <c r="G3" t="e">
        <f>F3*(COS(E3)/SIN(E3))*$B$20</f>
        <v>#DIV/0!</v>
      </c>
      <c r="H3" t="e">
        <f>1/G3^2</f>
        <v>#DIV/0!</v>
      </c>
      <c r="I3" t="e">
        <f>H3*F3</f>
        <v>#DIV/0!</v>
      </c>
    </row>
    <row r="4" spans="1:13" x14ac:dyDescent="0.45">
      <c r="A4">
        <v>120</v>
      </c>
      <c r="B4">
        <v>36</v>
      </c>
      <c r="C4">
        <v>1</v>
      </c>
      <c r="D4">
        <f>$B$18*(A4+B4/60)</f>
        <v>2.1048670779051615</v>
      </c>
      <c r="E4">
        <f t="shared" ref="E4:E14" si="0">ABS(D4-$D$3)</f>
        <v>0.17555103392976301</v>
      </c>
      <c r="F4">
        <f t="shared" ref="F4:F13" si="1">ABS(C4*0.000000589/SIN(E4))</f>
        <v>3.3724451298816497E-6</v>
      </c>
      <c r="G4">
        <f t="shared" ref="G4:G14" si="2">F4*(COS(E4)/SIN(E4))*$B$20</f>
        <v>2.3464436119412247E-8</v>
      </c>
      <c r="H4">
        <f t="shared" ref="H4:H14" si="3">1/G4^2</f>
        <v>1816267266412709.8</v>
      </c>
      <c r="I4">
        <f t="shared" ref="I4:I14" si="4">H4*F4</f>
        <v>6125261697.177</v>
      </c>
    </row>
    <row r="5" spans="1:13" x14ac:dyDescent="0.45">
      <c r="A5">
        <v>110</v>
      </c>
      <c r="B5">
        <v>10</v>
      </c>
      <c r="C5">
        <v>2</v>
      </c>
      <c r="D5">
        <f>$B$18*(A5+B5/60)</f>
        <v>1.9227710592804197</v>
      </c>
      <c r="E5">
        <f t="shared" si="0"/>
        <v>0.3576470525545048</v>
      </c>
      <c r="F5">
        <f t="shared" si="1"/>
        <v>3.3650302797763436E-6</v>
      </c>
      <c r="G5">
        <f t="shared" si="2"/>
        <v>1.1112359155819303E-8</v>
      </c>
      <c r="H5">
        <f t="shared" si="3"/>
        <v>8098180657355023</v>
      </c>
      <c r="I5">
        <f t="shared" si="4"/>
        <v>27250623123.098747</v>
      </c>
    </row>
    <row r="6" spans="1:13" x14ac:dyDescent="0.45">
      <c r="A6">
        <v>99</v>
      </c>
      <c r="B6">
        <v>1</v>
      </c>
      <c r="C6">
        <v>3</v>
      </c>
      <c r="D6">
        <f>$B$18*(A6+B6/60)</f>
        <v>1.7281668476830521</v>
      </c>
      <c r="E6">
        <f t="shared" si="0"/>
        <v>0.55225126415187242</v>
      </c>
      <c r="F6">
        <f t="shared" si="1"/>
        <v>3.3682474601600803E-6</v>
      </c>
      <c r="G6">
        <f t="shared" si="2"/>
        <v>6.745897319057319E-9</v>
      </c>
      <c r="H6">
        <f t="shared" si="3"/>
        <v>2.197457818043958E+16</v>
      </c>
      <c r="I6">
        <f t="shared" si="4"/>
        <v>74015817144.354736</v>
      </c>
    </row>
    <row r="7" spans="1:13" x14ac:dyDescent="0.45">
      <c r="A7">
        <v>86</v>
      </c>
      <c r="B7">
        <v>17.5</v>
      </c>
      <c r="C7">
        <v>4</v>
      </c>
      <c r="D7">
        <f>$B$18*(A7+B7/60)</f>
        <v>1.5060737003667737</v>
      </c>
      <c r="E7">
        <f t="shared" si="0"/>
        <v>0.77434441146815081</v>
      </c>
      <c r="F7">
        <f t="shared" si="1"/>
        <v>3.3693360390493753E-6</v>
      </c>
      <c r="G7">
        <f t="shared" si="2"/>
        <v>4.2511717016921589E-9</v>
      </c>
      <c r="H7">
        <f t="shared" si="3"/>
        <v>5.5332807690353128E+16</v>
      </c>
      <c r="I7">
        <f t="shared" si="4"/>
        <v>186434823092.89523</v>
      </c>
    </row>
    <row r="8" spans="1:13" x14ac:dyDescent="0.45">
      <c r="A8">
        <v>69</v>
      </c>
      <c r="B8">
        <v>44.5</v>
      </c>
      <c r="C8">
        <v>5</v>
      </c>
      <c r="D8">
        <f>$B$18*(A8+B8/60)</f>
        <v>1.2172217091617119</v>
      </c>
      <c r="E8">
        <f t="shared" si="0"/>
        <v>1.0631964026732126</v>
      </c>
      <c r="F8">
        <f t="shared" si="1"/>
        <v>3.3698981382900295E-6</v>
      </c>
      <c r="G8">
        <f t="shared" si="2"/>
        <v>2.3132332876978383E-9</v>
      </c>
      <c r="H8">
        <f t="shared" si="3"/>
        <v>1.8687927197247683E+17</v>
      </c>
      <c r="I8">
        <f t="shared" si="4"/>
        <v>629764110705.04578</v>
      </c>
      <c r="M8" s="1"/>
    </row>
    <row r="9" spans="1:13" x14ac:dyDescent="0.45">
      <c r="A9">
        <v>162</v>
      </c>
      <c r="B9">
        <v>17</v>
      </c>
      <c r="C9">
        <v>-3</v>
      </c>
      <c r="D9">
        <f>$B$18*(A9+B9/60)</f>
        <v>2.8323784877781311</v>
      </c>
      <c r="E9">
        <f t="shared" si="0"/>
        <v>0.55196037594320657</v>
      </c>
      <c r="F9">
        <f t="shared" si="1"/>
        <v>3.3698383769673139E-6</v>
      </c>
      <c r="G9">
        <f t="shared" si="2"/>
        <v>6.7534814143600918E-9</v>
      </c>
      <c r="H9">
        <f t="shared" si="3"/>
        <v>2.1925251408760908E+16</v>
      </c>
      <c r="I9">
        <f t="shared" si="4"/>
        <v>73884553621.89917</v>
      </c>
    </row>
    <row r="10" spans="1:13" x14ac:dyDescent="0.45">
      <c r="A10">
        <v>175</v>
      </c>
      <c r="B10">
        <v>0.5</v>
      </c>
      <c r="C10">
        <v>-4</v>
      </c>
      <c r="D10">
        <f>$B$18*(A10+B10/60)</f>
        <v>3.0544716350944094</v>
      </c>
      <c r="E10">
        <f t="shared" si="0"/>
        <v>0.77405352325948495</v>
      </c>
      <c r="F10">
        <f t="shared" si="1"/>
        <v>3.3703384905270699E-6</v>
      </c>
      <c r="G10">
        <f t="shared" si="2"/>
        <v>4.2549118268246631E-9</v>
      </c>
      <c r="H10">
        <f t="shared" si="3"/>
        <v>5.5235573869078696E+16</v>
      </c>
      <c r="I10">
        <f t="shared" si="4"/>
        <v>186162580657.30716</v>
      </c>
    </row>
    <row r="11" spans="1:13" x14ac:dyDescent="0.45">
      <c r="A11">
        <v>191</v>
      </c>
      <c r="B11">
        <v>31</v>
      </c>
      <c r="C11">
        <v>-5</v>
      </c>
      <c r="D11">
        <f>$B$18*(A11+B11/60)</f>
        <v>3.3425964057778073</v>
      </c>
      <c r="E11">
        <f t="shared" si="0"/>
        <v>1.0621782939428828</v>
      </c>
      <c r="F11">
        <f t="shared" si="1"/>
        <v>3.3718092878320658E-6</v>
      </c>
      <c r="G11">
        <f t="shared" si="2"/>
        <v>2.3200956330730488E-9</v>
      </c>
      <c r="H11">
        <f t="shared" si="3"/>
        <v>1.8577540925849389E+17</v>
      </c>
      <c r="I11">
        <f t="shared" si="4"/>
        <v>626399250388.5929</v>
      </c>
    </row>
    <row r="12" spans="1:13" x14ac:dyDescent="0.45">
      <c r="A12">
        <v>162</v>
      </c>
      <c r="B12">
        <v>17</v>
      </c>
      <c r="C12">
        <v>-3</v>
      </c>
      <c r="D12">
        <f>$B$18*(A12+B12/60)</f>
        <v>2.8323784877781311</v>
      </c>
      <c r="E12">
        <f t="shared" si="0"/>
        <v>0.55196037594320657</v>
      </c>
      <c r="F12">
        <f t="shared" si="1"/>
        <v>3.3698383769673139E-6</v>
      </c>
      <c r="G12">
        <f t="shared" si="2"/>
        <v>6.7534814143600918E-9</v>
      </c>
      <c r="H12">
        <f t="shared" si="3"/>
        <v>2.1925251408760908E+16</v>
      </c>
      <c r="I12">
        <f t="shared" si="4"/>
        <v>73884553621.89917</v>
      </c>
    </row>
    <row r="13" spans="1:13" x14ac:dyDescent="0.45">
      <c r="A13">
        <v>175</v>
      </c>
      <c r="B13">
        <v>0</v>
      </c>
      <c r="C13">
        <v>-4</v>
      </c>
      <c r="D13">
        <f>$B$18*(A13+B13/60)</f>
        <v>3.0543261909900767</v>
      </c>
      <c r="E13">
        <f t="shared" si="0"/>
        <v>0.77390807915515225</v>
      </c>
      <c r="F13">
        <f t="shared" si="1"/>
        <v>3.3708400469689784E-6</v>
      </c>
      <c r="G13">
        <f t="shared" si="2"/>
        <v>4.2567834117515127E-9</v>
      </c>
      <c r="H13">
        <f t="shared" si="3"/>
        <v>5.5187013568352008E+16</v>
      </c>
      <c r="I13">
        <f t="shared" si="4"/>
        <v>186026595408.82132</v>
      </c>
    </row>
    <row r="14" spans="1:13" x14ac:dyDescent="0.45">
      <c r="A14">
        <v>191</v>
      </c>
      <c r="B14">
        <v>30</v>
      </c>
      <c r="C14">
        <v>-5</v>
      </c>
      <c r="D14">
        <f>$B$18*(A14+B14/60)</f>
        <v>3.342305517569141</v>
      </c>
      <c r="E14">
        <f t="shared" si="0"/>
        <v>1.0618874057342165</v>
      </c>
      <c r="F14">
        <f>ABS(C14*0.000000589/SIN(E14))</f>
        <v>3.3723563710148285E-6</v>
      </c>
      <c r="G14">
        <f t="shared" si="2"/>
        <v>2.3220593325333526E-9</v>
      </c>
      <c r="H14">
        <f t="shared" si="3"/>
        <v>1.8546133216983955E+17</v>
      </c>
      <c r="I14">
        <f t="shared" si="4"/>
        <v>625441705119.85583</v>
      </c>
    </row>
    <row r="15" spans="1:13" x14ac:dyDescent="0.45">
      <c r="G15" t="s">
        <v>44</v>
      </c>
      <c r="H15">
        <f>SUM(H4:H14)</f>
        <v>7.996109374503232E+17</v>
      </c>
      <c r="I15">
        <f>SUM(I4:I14)</f>
        <v>2695389874580.9468</v>
      </c>
    </row>
    <row r="16" spans="1:13" x14ac:dyDescent="0.45">
      <c r="A16" t="s">
        <v>36</v>
      </c>
    </row>
    <row r="17" spans="1:18" x14ac:dyDescent="0.45">
      <c r="F17" t="s">
        <v>23</v>
      </c>
      <c r="G17" t="s">
        <v>45</v>
      </c>
      <c r="H17" t="s">
        <v>48</v>
      </c>
      <c r="I17" t="s">
        <v>46</v>
      </c>
    </row>
    <row r="18" spans="1:18" x14ac:dyDescent="0.45">
      <c r="A18" t="s">
        <v>37</v>
      </c>
      <c r="B18">
        <f>PI()/180</f>
        <v>1.7453292519943295E-2</v>
      </c>
      <c r="F18">
        <f>I15/H15</f>
        <v>3.3708766955784685E-6</v>
      </c>
      <c r="G18">
        <f>MAX(G4:G14)</f>
        <v>2.3464436119412247E-8</v>
      </c>
      <c r="H18">
        <f>G18/SQRT(COUNT(I4:I14))</f>
        <v>7.0747936841230292E-9</v>
      </c>
      <c r="I18">
        <f>H18/F18</f>
        <v>2.0987993103998544E-3</v>
      </c>
    </row>
    <row r="19" spans="1:18" x14ac:dyDescent="0.45">
      <c r="A19" t="s">
        <v>5</v>
      </c>
      <c r="B19">
        <v>3</v>
      </c>
    </row>
    <row r="20" spans="1:18" x14ac:dyDescent="0.45">
      <c r="A20" t="s">
        <v>41</v>
      </c>
      <c r="B20">
        <f>B19*(B18/60)*SQRT(2)</f>
        <v>1.2341341494884351E-3</v>
      </c>
    </row>
    <row r="22" spans="1:18" x14ac:dyDescent="0.45">
      <c r="G22">
        <f t="array" ref="G22:Q22">TRANSPOSE(E24:E34)</f>
        <v>1.6591861896754958E-8</v>
      </c>
      <c r="H22">
        <v>7.8576245140602467E-9</v>
      </c>
      <c r="I22">
        <v>4.7700697394935818E-9</v>
      </c>
      <c r="J22">
        <v>3.00603233825488E-9</v>
      </c>
      <c r="K22">
        <v>1.6357029441975933E-9</v>
      </c>
      <c r="L22">
        <v>4.7754325047113365E-9</v>
      </c>
      <c r="M22">
        <v>3.0086770060985602E-9</v>
      </c>
      <c r="N22">
        <v>1.640555355147249E-9</v>
      </c>
      <c r="O22">
        <v>4.7754325047113365E-9</v>
      </c>
      <c r="P22">
        <v>3.0100004164919022E-9</v>
      </c>
      <c r="Q22">
        <v>1.6419439003518419E-9</v>
      </c>
    </row>
    <row r="23" spans="1:18" x14ac:dyDescent="0.45">
      <c r="G23">
        <f t="array" ref="G23:R23">TRANSPOSE(F24:F34)</f>
        <v>3.3724451298816497E-6</v>
      </c>
      <c r="H23">
        <v>3.3650302797763436E-6</v>
      </c>
      <c r="I23">
        <v>3.3682474601600803E-6</v>
      </c>
      <c r="J23">
        <v>3.3693360390493753E-6</v>
      </c>
      <c r="K23">
        <v>3.3698981382900295E-6</v>
      </c>
      <c r="L23">
        <v>3.3698383769673139E-6</v>
      </c>
      <c r="M23">
        <v>3.3703384905270699E-6</v>
      </c>
      <c r="N23">
        <v>3.3718092878320658E-6</v>
      </c>
      <c r="O23">
        <v>3.3698383769673139E-6</v>
      </c>
      <c r="P23">
        <v>3.3708400469689784E-6</v>
      </c>
      <c r="Q23">
        <v>3.3723563710148285E-6</v>
      </c>
      <c r="R23" t="e">
        <v>#N/A</v>
      </c>
    </row>
    <row r="24" spans="1:18" x14ac:dyDescent="0.45">
      <c r="E24">
        <v>1.6591861896754958E-8</v>
      </c>
      <c r="F24">
        <v>3.3724451298816497E-6</v>
      </c>
      <c r="G24">
        <f>ABS($F24-G$23)/SQRT($E24^2+G$22^2)</f>
        <v>0</v>
      </c>
      <c r="H24">
        <f t="shared" ref="H24:Q37" si="5">ABS($F24-H$23)/SQRT($E24^2+H$22^2)</f>
        <v>0.40389336080070648</v>
      </c>
      <c r="I24">
        <f t="shared" si="5"/>
        <v>0.24314675408194603</v>
      </c>
      <c r="J24">
        <f t="shared" si="5"/>
        <v>0.18438476634059003</v>
      </c>
      <c r="K24">
        <f t="shared" si="5"/>
        <v>0.15276790996453488</v>
      </c>
      <c r="L24">
        <f t="shared" si="5"/>
        <v>0.15098116999655725</v>
      </c>
      <c r="M24">
        <f t="shared" si="5"/>
        <v>0.12493084343757835</v>
      </c>
      <c r="N24">
        <f t="shared" si="5"/>
        <v>3.813655437686278E-2</v>
      </c>
      <c r="O24">
        <f t="shared" si="5"/>
        <v>0.15098116999655725</v>
      </c>
      <c r="P24">
        <f t="shared" si="5"/>
        <v>9.5185515773529045E-2</v>
      </c>
      <c r="Q24">
        <f t="shared" si="5"/>
        <v>5.323538452543213E-3</v>
      </c>
    </row>
    <row r="25" spans="1:18" x14ac:dyDescent="0.45">
      <c r="E25">
        <v>7.8576245140602467E-9</v>
      </c>
      <c r="F25">
        <v>3.3650302797763436E-6</v>
      </c>
      <c r="G25">
        <f t="shared" ref="G25:G37" si="6">ABS($F25-G$23)/SQRT($E25^2+G$22^2)</f>
        <v>0.40389336080070648</v>
      </c>
      <c r="H25">
        <f t="shared" si="5"/>
        <v>0</v>
      </c>
      <c r="I25">
        <f t="shared" si="5"/>
        <v>0.34999172649055499</v>
      </c>
      <c r="J25">
        <f t="shared" si="5"/>
        <v>0.51179859406631456</v>
      </c>
      <c r="K25">
        <f t="shared" si="5"/>
        <v>0.60650592216466737</v>
      </c>
      <c r="L25">
        <f t="shared" si="5"/>
        <v>0.52290655867426683</v>
      </c>
      <c r="M25">
        <f t="shared" si="5"/>
        <v>0.63088282369314408</v>
      </c>
      <c r="N25">
        <f t="shared" si="5"/>
        <v>0.8445194683015903</v>
      </c>
      <c r="O25">
        <f t="shared" si="5"/>
        <v>0.52290655867426683</v>
      </c>
      <c r="P25">
        <f t="shared" si="5"/>
        <v>0.69045415261259702</v>
      </c>
      <c r="Q25">
        <f t="shared" si="5"/>
        <v>0.91264205762988271</v>
      </c>
    </row>
    <row r="26" spans="1:18" x14ac:dyDescent="0.45">
      <c r="E26">
        <v>4.7700697394935818E-9</v>
      </c>
      <c r="F26">
        <v>3.3682474601600803E-6</v>
      </c>
      <c r="G26">
        <f t="shared" si="6"/>
        <v>0.24314675408194603</v>
      </c>
      <c r="H26">
        <f t="shared" si="5"/>
        <v>0.34999172649055499</v>
      </c>
      <c r="I26">
        <f t="shared" si="5"/>
        <v>0</v>
      </c>
      <c r="J26">
        <f t="shared" si="5"/>
        <v>0.19307055238543608</v>
      </c>
      <c r="K26">
        <f t="shared" si="5"/>
        <v>0.32733842814149583</v>
      </c>
      <c r="L26">
        <f t="shared" si="5"/>
        <v>0.23570218860870398</v>
      </c>
      <c r="M26">
        <f t="shared" si="5"/>
        <v>0.37077277954513371</v>
      </c>
      <c r="N26">
        <f t="shared" si="5"/>
        <v>0.70610906230955162</v>
      </c>
      <c r="O26">
        <f t="shared" si="5"/>
        <v>0.23570218860870398</v>
      </c>
      <c r="P26">
        <f t="shared" si="5"/>
        <v>0.45964912308028066</v>
      </c>
      <c r="Q26">
        <f t="shared" si="5"/>
        <v>0.81449178284791779</v>
      </c>
    </row>
    <row r="27" spans="1:18" x14ac:dyDescent="0.45">
      <c r="E27">
        <v>3.00603233825488E-9</v>
      </c>
      <c r="F27">
        <v>3.3693360390493753E-6</v>
      </c>
      <c r="G27">
        <f t="shared" si="6"/>
        <v>0.18438476634059003</v>
      </c>
      <c r="H27">
        <f t="shared" si="5"/>
        <v>0.51179859406631456</v>
      </c>
      <c r="I27">
        <f t="shared" si="5"/>
        <v>0.19307055238543608</v>
      </c>
      <c r="J27">
        <f t="shared" si="5"/>
        <v>0</v>
      </c>
      <c r="K27">
        <f t="shared" si="5"/>
        <v>0.16424872907414648</v>
      </c>
      <c r="L27">
        <f t="shared" si="5"/>
        <v>8.9023098718057775E-2</v>
      </c>
      <c r="M27">
        <f t="shared" si="5"/>
        <v>0.23570221887166121</v>
      </c>
      <c r="N27">
        <f t="shared" si="5"/>
        <v>0.72220794760942308</v>
      </c>
      <c r="O27">
        <f t="shared" si="5"/>
        <v>8.9023098718057775E-2</v>
      </c>
      <c r="P27">
        <f t="shared" si="5"/>
        <v>0.35355325043185615</v>
      </c>
      <c r="Q27">
        <f t="shared" si="5"/>
        <v>0.88178917179276339</v>
      </c>
    </row>
    <row r="28" spans="1:18" x14ac:dyDescent="0.45">
      <c r="E28">
        <v>1.6357029441975933E-9</v>
      </c>
      <c r="F28">
        <v>3.3698981382900295E-6</v>
      </c>
      <c r="G28">
        <f t="shared" si="6"/>
        <v>0.15276790996453488</v>
      </c>
      <c r="H28">
        <f t="shared" si="5"/>
        <v>0.60650592216466737</v>
      </c>
      <c r="I28">
        <f t="shared" si="5"/>
        <v>0.32733842814149583</v>
      </c>
      <c r="J28">
        <f t="shared" si="5"/>
        <v>0.16424872907414648</v>
      </c>
      <c r="K28">
        <f t="shared" si="5"/>
        <v>0</v>
      </c>
      <c r="L28">
        <f t="shared" si="5"/>
        <v>1.1839084097938546E-2</v>
      </c>
      <c r="M28">
        <f t="shared" si="5"/>
        <v>0.12858623985157622</v>
      </c>
      <c r="N28">
        <f t="shared" si="5"/>
        <v>0.8249565176849204</v>
      </c>
      <c r="O28">
        <f t="shared" si="5"/>
        <v>1.1839084097938546E-2</v>
      </c>
      <c r="P28">
        <f t="shared" si="5"/>
        <v>0.27495122354349</v>
      </c>
      <c r="Q28">
        <f t="shared" si="5"/>
        <v>1.0606572097811251</v>
      </c>
    </row>
    <row r="29" spans="1:18" x14ac:dyDescent="0.45">
      <c r="E29">
        <v>4.7754325047113365E-9</v>
      </c>
      <c r="F29">
        <v>3.3698383769673139E-6</v>
      </c>
      <c r="G29">
        <f t="shared" si="6"/>
        <v>0.15098116999655725</v>
      </c>
      <c r="H29">
        <f t="shared" si="5"/>
        <v>0.52290655867426683</v>
      </c>
      <c r="I29">
        <f t="shared" si="5"/>
        <v>0.23570218860870398</v>
      </c>
      <c r="J29">
        <f t="shared" si="5"/>
        <v>8.9023098718057775E-2</v>
      </c>
      <c r="K29">
        <f t="shared" si="5"/>
        <v>1.1839084097938546E-2</v>
      </c>
      <c r="L29">
        <f t="shared" si="5"/>
        <v>0</v>
      </c>
      <c r="M29">
        <f t="shared" si="5"/>
        <v>8.8606773366302988E-2</v>
      </c>
      <c r="N29">
        <f t="shared" si="5"/>
        <v>0.39032776672761726</v>
      </c>
      <c r="O29">
        <f t="shared" si="5"/>
        <v>0</v>
      </c>
      <c r="P29">
        <f t="shared" si="5"/>
        <v>0.1774470047810007</v>
      </c>
      <c r="Q29">
        <f t="shared" si="5"/>
        <v>0.49862993408475825</v>
      </c>
    </row>
    <row r="30" spans="1:18" x14ac:dyDescent="0.45">
      <c r="E30">
        <v>3.0086770060985602E-9</v>
      </c>
      <c r="F30">
        <v>3.3703384905270699E-6</v>
      </c>
      <c r="G30">
        <f t="shared" si="6"/>
        <v>0.12493084343757835</v>
      </c>
      <c r="H30">
        <f t="shared" si="5"/>
        <v>0.63088282369314408</v>
      </c>
      <c r="I30">
        <f t="shared" si="5"/>
        <v>0.37077277954513371</v>
      </c>
      <c r="J30">
        <f t="shared" si="5"/>
        <v>0.23570221887166121</v>
      </c>
      <c r="K30">
        <f t="shared" si="5"/>
        <v>0.12858623985157622</v>
      </c>
      <c r="L30">
        <f t="shared" si="5"/>
        <v>8.8606773366302988E-2</v>
      </c>
      <c r="M30">
        <f t="shared" si="5"/>
        <v>0</v>
      </c>
      <c r="N30">
        <f t="shared" si="5"/>
        <v>0.42919332073947908</v>
      </c>
      <c r="O30">
        <f t="shared" si="5"/>
        <v>8.8606773366302988E-2</v>
      </c>
      <c r="P30">
        <f t="shared" si="5"/>
        <v>0.11785112500515872</v>
      </c>
      <c r="Q30">
        <f t="shared" si="5"/>
        <v>0.58872341282208007</v>
      </c>
    </row>
    <row r="31" spans="1:18" x14ac:dyDescent="0.45">
      <c r="E31">
        <v>1.640555355147249E-9</v>
      </c>
      <c r="F31">
        <v>3.3718092878320658E-6</v>
      </c>
      <c r="G31">
        <f t="shared" si="6"/>
        <v>3.813655437686278E-2</v>
      </c>
      <c r="H31">
        <f t="shared" si="5"/>
        <v>0.8445194683015903</v>
      </c>
      <c r="I31">
        <f t="shared" si="5"/>
        <v>0.70610906230955162</v>
      </c>
      <c r="J31">
        <f t="shared" si="5"/>
        <v>0.72220794760942308</v>
      </c>
      <c r="K31">
        <f t="shared" si="5"/>
        <v>0.8249565176849204</v>
      </c>
      <c r="L31">
        <f t="shared" si="5"/>
        <v>0.39032776672761726</v>
      </c>
      <c r="M31">
        <f t="shared" si="5"/>
        <v>0.42919332073947908</v>
      </c>
      <c r="N31">
        <f t="shared" si="5"/>
        <v>0</v>
      </c>
      <c r="O31">
        <f t="shared" si="5"/>
        <v>0.39032776672761726</v>
      </c>
      <c r="P31">
        <f t="shared" si="5"/>
        <v>0.28273828064489925</v>
      </c>
      <c r="Q31">
        <f t="shared" si="5"/>
        <v>0.23570222789548148</v>
      </c>
    </row>
    <row r="32" spans="1:18" x14ac:dyDescent="0.45">
      <c r="E32">
        <v>4.7754325047113365E-9</v>
      </c>
      <c r="F32">
        <v>3.3698383769673139E-6</v>
      </c>
      <c r="G32">
        <f t="shared" si="6"/>
        <v>0.15098116999655725</v>
      </c>
      <c r="H32">
        <f t="shared" si="5"/>
        <v>0.52290655867426683</v>
      </c>
      <c r="I32">
        <f t="shared" si="5"/>
        <v>0.23570218860870398</v>
      </c>
      <c r="J32">
        <f t="shared" si="5"/>
        <v>8.9023098718057775E-2</v>
      </c>
      <c r="K32">
        <f t="shared" si="5"/>
        <v>1.1839084097938546E-2</v>
      </c>
      <c r="L32">
        <f t="shared" si="5"/>
        <v>0</v>
      </c>
      <c r="M32">
        <f t="shared" si="5"/>
        <v>8.8606773366302988E-2</v>
      </c>
      <c r="N32">
        <f t="shared" si="5"/>
        <v>0.39032776672761726</v>
      </c>
      <c r="O32">
        <f t="shared" si="5"/>
        <v>0</v>
      </c>
      <c r="P32">
        <f t="shared" si="5"/>
        <v>0.1774470047810007</v>
      </c>
      <c r="Q32">
        <f t="shared" si="5"/>
        <v>0.49862993408475825</v>
      </c>
    </row>
    <row r="33" spans="5:17" x14ac:dyDescent="0.45">
      <c r="E33">
        <v>3.0100004164919022E-9</v>
      </c>
      <c r="F33">
        <v>3.3708400469689784E-6</v>
      </c>
      <c r="G33">
        <f t="shared" si="6"/>
        <v>9.5185515773529045E-2</v>
      </c>
      <c r="H33">
        <f t="shared" si="5"/>
        <v>0.69045415261259702</v>
      </c>
      <c r="I33">
        <f t="shared" si="5"/>
        <v>0.45964912308028066</v>
      </c>
      <c r="J33">
        <f t="shared" si="5"/>
        <v>0.35355325043185615</v>
      </c>
      <c r="K33">
        <f t="shared" si="5"/>
        <v>0.27495122354349</v>
      </c>
      <c r="L33">
        <f t="shared" si="5"/>
        <v>0.1774470047810007</v>
      </c>
      <c r="M33">
        <f t="shared" si="5"/>
        <v>0.11785112500515872</v>
      </c>
      <c r="N33">
        <f t="shared" si="5"/>
        <v>0.28273828064489925</v>
      </c>
      <c r="O33">
        <f t="shared" si="5"/>
        <v>0.1774470047810007</v>
      </c>
      <c r="P33">
        <f t="shared" si="5"/>
        <v>0</v>
      </c>
      <c r="Q33">
        <f t="shared" si="5"/>
        <v>0.44224274148142911</v>
      </c>
    </row>
    <row r="34" spans="5:17" x14ac:dyDescent="0.45">
      <c r="E34">
        <v>1.6419439003518419E-9</v>
      </c>
      <c r="F34">
        <v>3.3723563710148285E-6</v>
      </c>
      <c r="G34">
        <f t="shared" si="6"/>
        <v>5.323538452543213E-3</v>
      </c>
      <c r="H34">
        <f t="shared" si="5"/>
        <v>0.91264205762988271</v>
      </c>
      <c r="I34">
        <f t="shared" si="5"/>
        <v>0.81449178284791779</v>
      </c>
      <c r="J34">
        <f t="shared" si="5"/>
        <v>0.88178917179276339</v>
      </c>
      <c r="K34">
        <f t="shared" si="5"/>
        <v>1.0606572097811251</v>
      </c>
      <c r="L34">
        <f t="shared" si="5"/>
        <v>0.49862993408475825</v>
      </c>
      <c r="M34">
        <f t="shared" si="5"/>
        <v>0.58872341282208007</v>
      </c>
      <c r="N34">
        <f t="shared" si="5"/>
        <v>0.23570222789548148</v>
      </c>
      <c r="O34">
        <f t="shared" si="5"/>
        <v>0.49862993408475825</v>
      </c>
      <c r="P34">
        <f t="shared" si="5"/>
        <v>0.44224274148142911</v>
      </c>
      <c r="Q34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topLeftCell="H1" zoomScale="145" zoomScaleNormal="145" workbookViewId="0">
      <selection activeCell="Q2" sqref="P1:Q2"/>
    </sheetView>
  </sheetViews>
  <sheetFormatPr defaultRowHeight="14.25" x14ac:dyDescent="0.45"/>
  <cols>
    <col min="1" max="1" width="14.59765625" bestFit="1" customWidth="1"/>
    <col min="2" max="2" width="9.59765625" customWidth="1"/>
    <col min="5" max="5" width="15.06640625" customWidth="1"/>
    <col min="6" max="6" width="13.796875" bestFit="1" customWidth="1"/>
    <col min="7" max="7" width="11.59765625" bestFit="1" customWidth="1"/>
    <col min="8" max="8" width="12.33203125" bestFit="1" customWidth="1"/>
    <col min="9" max="11" width="11.73046875" bestFit="1" customWidth="1"/>
    <col min="12" max="13" width="11.86328125" bestFit="1" customWidth="1"/>
  </cols>
  <sheetData>
    <row r="1" spans="1:17" x14ac:dyDescent="0.45">
      <c r="A1" t="s">
        <v>24</v>
      </c>
      <c r="C1">
        <f>PI()/180</f>
        <v>1.7453292519943295E-2</v>
      </c>
      <c r="G1">
        <v>3.3755417620470787E-6</v>
      </c>
      <c r="H1">
        <v>2.3582131813346154E-8</v>
      </c>
      <c r="I1">
        <v>6.9861768793655511E-3</v>
      </c>
      <c r="J1" t="s">
        <v>41</v>
      </c>
      <c r="K1">
        <v>1.2341341494884351E-3</v>
      </c>
      <c r="L1" t="s">
        <v>62</v>
      </c>
      <c r="N1" t="s">
        <v>63</v>
      </c>
      <c r="O1" t="s">
        <v>64</v>
      </c>
      <c r="P1" t="s">
        <v>65</v>
      </c>
      <c r="Q1" t="s">
        <v>66</v>
      </c>
    </row>
    <row r="2" spans="1:17" x14ac:dyDescent="0.45">
      <c r="A2" t="s">
        <v>21</v>
      </c>
      <c r="B2" t="s">
        <v>3</v>
      </c>
      <c r="C2" t="s">
        <v>4</v>
      </c>
      <c r="D2" t="s">
        <v>34</v>
      </c>
      <c r="E2" t="s">
        <v>35</v>
      </c>
      <c r="F2" t="s">
        <v>57</v>
      </c>
      <c r="L2">
        <f>FLOOR(1/G1*0.024+0.5,1)</f>
        <v>7110</v>
      </c>
      <c r="N2">
        <f>$L$2*1</f>
        <v>7110</v>
      </c>
      <c r="O2">
        <f>2*$N$2</f>
        <v>14220</v>
      </c>
      <c r="P2">
        <f>3*$N$2</f>
        <v>21330</v>
      </c>
      <c r="Q2">
        <f>4*$N$2</f>
        <v>28440</v>
      </c>
    </row>
    <row r="3" spans="1:17" x14ac:dyDescent="0.45">
      <c r="A3">
        <v>130</v>
      </c>
      <c r="B3">
        <v>39</v>
      </c>
      <c r="C3">
        <v>0</v>
      </c>
      <c r="D3">
        <f>$C$1*(A3+B3/60)</f>
        <v>2.2802726677305918</v>
      </c>
    </row>
    <row r="5" spans="1:17" x14ac:dyDescent="0.45">
      <c r="A5" t="s">
        <v>25</v>
      </c>
      <c r="B5">
        <v>4046.5</v>
      </c>
      <c r="C5">
        <v>1800</v>
      </c>
      <c r="E5">
        <f>ABS(B5/10000000000-L6)/L8</f>
        <v>3.1016414797257284E-2</v>
      </c>
      <c r="G5" t="s">
        <v>39</v>
      </c>
      <c r="H5" t="s">
        <v>58</v>
      </c>
      <c r="I5" t="s">
        <v>42</v>
      </c>
      <c r="L5" t="s">
        <v>59</v>
      </c>
      <c r="M5" t="s">
        <v>60</v>
      </c>
    </row>
    <row r="6" spans="1:17" x14ac:dyDescent="0.45">
      <c r="A6">
        <v>116</v>
      </c>
      <c r="B6">
        <v>46</v>
      </c>
      <c r="C6">
        <v>2</v>
      </c>
      <c r="D6">
        <f t="shared" ref="D6:D10" si="0">$C$1*(A6+B6/60)</f>
        <v>2.0379627899120454</v>
      </c>
      <c r="E6">
        <f>ABS($G$1*SIN(D6-$D$3)/C6)</f>
        <v>4.0497330192406855E-7</v>
      </c>
      <c r="F6">
        <f>E6*1000000000</f>
        <v>404.97330192406855</v>
      </c>
      <c r="G6">
        <f>SQRT((SIN(D6)*$H$1/C6)^2+($G$1*COS(D6)*K1/C6)^2)</f>
        <v>1.0569340071563406E-8</v>
      </c>
      <c r="H6">
        <f>G6/E6</f>
        <v>2.6098856446455647E-2</v>
      </c>
      <c r="I6">
        <f>1/G6^2</f>
        <v>8951673976839068</v>
      </c>
      <c r="J6">
        <f>I6*E6</f>
        <v>3625188968.1482754</v>
      </c>
      <c r="L6">
        <f>J11/I11</f>
        <v>4.0457007885466603E-7</v>
      </c>
      <c r="M6">
        <f>L6*1000000000</f>
        <v>404.57007885466601</v>
      </c>
    </row>
    <row r="7" spans="1:17" x14ac:dyDescent="0.45">
      <c r="A7">
        <v>109</v>
      </c>
      <c r="B7">
        <v>35</v>
      </c>
      <c r="C7">
        <v>3</v>
      </c>
      <c r="D7">
        <f t="shared" si="0"/>
        <v>1.9125899719771193</v>
      </c>
      <c r="E7">
        <f t="shared" ref="E7:E10" si="1">ABS($G$1*SIN(D7-$D$3)/C7)</f>
        <v>4.0445063681131609E-7</v>
      </c>
      <c r="F7">
        <f t="shared" ref="F7:F10" si="2">E7*1000000000</f>
        <v>404.45063681131609</v>
      </c>
      <c r="G7">
        <f t="shared" ref="G7:G69" si="3">SQRT((SIN(D7)*$H$1/C7)^2+($G$1*COS(D7)*K2/C7)^2)</f>
        <v>7.4060077353563698E-9</v>
      </c>
      <c r="H7">
        <f t="shared" ref="H7:H69" si="4">G7/E7</f>
        <v>1.8311277227167314E-2</v>
      </c>
      <c r="I7">
        <f t="shared" ref="I7:I10" si="5">1/G7^2</f>
        <v>1.8231889388867864E+16</v>
      </c>
      <c r="J7">
        <f t="shared" ref="J7:J10" si="6">I7*E7</f>
        <v>7373899273.6010838</v>
      </c>
      <c r="L7" t="s">
        <v>5</v>
      </c>
    </row>
    <row r="8" spans="1:17" x14ac:dyDescent="0.45">
      <c r="A8">
        <v>101</v>
      </c>
      <c r="B8">
        <v>57</v>
      </c>
      <c r="C8">
        <v>4</v>
      </c>
      <c r="D8">
        <f t="shared" si="0"/>
        <v>1.7793631724082191</v>
      </c>
      <c r="E8">
        <f t="shared" si="1"/>
        <v>4.0525361768394829E-7</v>
      </c>
      <c r="F8">
        <f t="shared" si="2"/>
        <v>405.25361768394828</v>
      </c>
      <c r="G8">
        <f t="shared" si="3"/>
        <v>5.7677688862817802E-9</v>
      </c>
      <c r="H8">
        <f t="shared" si="4"/>
        <v>1.4232492036085866E-2</v>
      </c>
      <c r="I8">
        <f t="shared" si="5"/>
        <v>3.0059676340180228E+16</v>
      </c>
      <c r="J8">
        <f t="shared" si="6"/>
        <v>12181792583.266624</v>
      </c>
      <c r="L8">
        <f>SQRT(1/I11)</f>
        <v>2.5767370554074867E-9</v>
      </c>
    </row>
    <row r="9" spans="1:17" x14ac:dyDescent="0.45">
      <c r="A9">
        <v>144</v>
      </c>
      <c r="B9">
        <v>32</v>
      </c>
      <c r="C9">
        <v>-2</v>
      </c>
      <c r="D9">
        <f t="shared" si="0"/>
        <v>2.5225825455491377</v>
      </c>
      <c r="E9">
        <f t="shared" si="1"/>
        <v>4.0497330192406775E-7</v>
      </c>
      <c r="F9">
        <f t="shared" si="2"/>
        <v>404.97330192406775</v>
      </c>
      <c r="G9">
        <f t="shared" si="3"/>
        <v>6.8415210241641672E-9</v>
      </c>
      <c r="H9">
        <f t="shared" si="4"/>
        <v>1.6893758160499549E-2</v>
      </c>
      <c r="I9">
        <f t="shared" si="5"/>
        <v>2.136459518305278E+16</v>
      </c>
      <c r="J9">
        <f t="shared" si="6"/>
        <v>8652090655.5519161</v>
      </c>
    </row>
    <row r="10" spans="1:17" x14ac:dyDescent="0.45">
      <c r="A10">
        <v>151</v>
      </c>
      <c r="B10">
        <v>42</v>
      </c>
      <c r="C10">
        <v>-3</v>
      </c>
      <c r="D10">
        <f t="shared" si="0"/>
        <v>2.6476644752753979</v>
      </c>
      <c r="E10">
        <f t="shared" si="1"/>
        <v>4.0414519386744327E-7</v>
      </c>
      <c r="F10">
        <f t="shared" si="2"/>
        <v>404.14519386744325</v>
      </c>
      <c r="G10">
        <f t="shared" si="3"/>
        <v>3.7266702123007671E-9</v>
      </c>
      <c r="H10">
        <f t="shared" si="4"/>
        <v>9.2211172342261932E-3</v>
      </c>
      <c r="I10">
        <f t="shared" si="5"/>
        <v>7.200424085321548E+16</v>
      </c>
      <c r="J10">
        <f t="shared" si="6"/>
        <v>29100167878.900848</v>
      </c>
    </row>
    <row r="11" spans="1:17" x14ac:dyDescent="0.45">
      <c r="I11">
        <f>SUM(I6:I10)</f>
        <v>1.5061207574215542E+17</v>
      </c>
      <c r="J11">
        <f>SUM(J6:J10)</f>
        <v>60933139359.46875</v>
      </c>
    </row>
    <row r="12" spans="1:17" x14ac:dyDescent="0.45">
      <c r="A12" t="s">
        <v>26</v>
      </c>
      <c r="B12">
        <v>4077.8</v>
      </c>
      <c r="C12">
        <v>150</v>
      </c>
      <c r="E12">
        <f>ABS(B12/10000000000-L13)/L15</f>
        <v>4.2361139667195374E-2</v>
      </c>
      <c r="L12" t="s">
        <v>59</v>
      </c>
      <c r="M12" t="s">
        <v>60</v>
      </c>
    </row>
    <row r="13" spans="1:17" x14ac:dyDescent="0.45">
      <c r="A13">
        <v>116</v>
      </c>
      <c r="B13">
        <v>41</v>
      </c>
      <c r="C13">
        <v>2</v>
      </c>
      <c r="D13">
        <f>$C$1*(A13+B13/60)</f>
        <v>2.036508348868717</v>
      </c>
      <c r="E13">
        <f>ABS($G$1*SIN(D13-$D$3)/C13)</f>
        <v>4.0735592331727853E-7</v>
      </c>
      <c r="F13">
        <f>E13*1000000000</f>
        <v>407.35592331727855</v>
      </c>
      <c r="G13">
        <f t="shared" si="3"/>
        <v>1.0535341584387559E-8</v>
      </c>
      <c r="H13">
        <f t="shared" si="4"/>
        <v>2.586274307390362E-2</v>
      </c>
      <c r="I13">
        <f>1/G13^2</f>
        <v>9009542901556884</v>
      </c>
      <c r="J13">
        <f>I13*E13</f>
        <v>3670090667.330337</v>
      </c>
      <c r="L13">
        <f>J17/I17</f>
        <v>4.0790149765500594E-7</v>
      </c>
      <c r="M13">
        <f>L13*1000000000</f>
        <v>407.90149765500593</v>
      </c>
    </row>
    <row r="14" spans="1:17" x14ac:dyDescent="0.45">
      <c r="A14">
        <v>144</v>
      </c>
      <c r="B14">
        <v>40</v>
      </c>
      <c r="C14">
        <v>-2</v>
      </c>
      <c r="D14">
        <f>$C$1*(A14+B14/60)</f>
        <v>2.5249096512184632</v>
      </c>
      <c r="E14">
        <f>ABS($G$1*SIN(D14-$D$3)/C14)</f>
        <v>4.0878508285007257E-7</v>
      </c>
      <c r="F14">
        <f>E14*1000000000</f>
        <v>408.78508285007257</v>
      </c>
      <c r="G14">
        <f t="shared" si="3"/>
        <v>6.8191546917169411E-9</v>
      </c>
      <c r="H14">
        <f t="shared" si="4"/>
        <v>1.668151549017741E-2</v>
      </c>
      <c r="I14">
        <f t="shared" ref="I14:I71" si="7">1/G14^2</f>
        <v>2.1504973664811428E+16</v>
      </c>
      <c r="J14">
        <f t="shared" ref="J14:J71" si="8">I14*E14</f>
        <v>8790912441.2585678</v>
      </c>
      <c r="L14" t="s">
        <v>5</v>
      </c>
    </row>
    <row r="15" spans="1:17" x14ac:dyDescent="0.45">
      <c r="A15">
        <v>151</v>
      </c>
      <c r="B15">
        <v>53</v>
      </c>
      <c r="C15">
        <v>-3</v>
      </c>
      <c r="D15">
        <f>$C$1*(A15+B15/60)</f>
        <v>2.6508642455707205</v>
      </c>
      <c r="E15">
        <f>ABS($G$1*SIN(D15-$D$3)/C15)</f>
        <v>4.0750317972338785E-7</v>
      </c>
      <c r="F15">
        <f>E15*1000000000</f>
        <v>407.50317972338786</v>
      </c>
      <c r="G15">
        <f t="shared" si="3"/>
        <v>3.7045049935792902E-9</v>
      </c>
      <c r="H15">
        <f t="shared" si="4"/>
        <v>9.0907388651394055E-3</v>
      </c>
      <c r="I15">
        <f t="shared" si="7"/>
        <v>7.2868466656402944E+16</v>
      </c>
      <c r="J15">
        <f t="shared" si="8"/>
        <v>29694131864.051865</v>
      </c>
      <c r="L15">
        <f>SQRT(1/I17)</f>
        <v>2.8681394306304615E-9</v>
      </c>
    </row>
    <row r="16" spans="1:17" x14ac:dyDescent="0.45">
      <c r="A16">
        <v>109</v>
      </c>
      <c r="B16">
        <v>21</v>
      </c>
      <c r="C16">
        <v>3</v>
      </c>
      <c r="D16">
        <f>$C$1*(A16+B16/60)</f>
        <v>1.9085175370557992</v>
      </c>
      <c r="E16">
        <f>ABS($G$1*SIN(D16-$D$3)/C16)</f>
        <v>4.087232328588427E-7</v>
      </c>
      <c r="F16">
        <f>E16*1000000000</f>
        <v>408.72323285884272</v>
      </c>
      <c r="G16">
        <f t="shared" si="3"/>
        <v>7.4166760732027798E-9</v>
      </c>
      <c r="H16">
        <f t="shared" si="4"/>
        <v>1.8145961562611283E-2</v>
      </c>
      <c r="I16">
        <f t="shared" si="7"/>
        <v>1.8179476673545984E+16</v>
      </c>
      <c r="J16">
        <f t="shared" si="8"/>
        <v>7430374477.693634</v>
      </c>
    </row>
    <row r="17" spans="1:13" x14ac:dyDescent="0.45">
      <c r="I17">
        <f>SUM(I13:I16)</f>
        <v>1.2156245989631725E+17</v>
      </c>
      <c r="J17">
        <f>SUM(J13:J16)</f>
        <v>49585509450.334404</v>
      </c>
    </row>
    <row r="18" spans="1:13" x14ac:dyDescent="0.45">
      <c r="A18" t="s">
        <v>27</v>
      </c>
      <c r="B18">
        <v>4358.3</v>
      </c>
      <c r="C18">
        <v>4000</v>
      </c>
      <c r="E18">
        <f>ABS(B18/10000000000-L19)/L21</f>
        <v>0.5268367800746967</v>
      </c>
      <c r="L18" t="s">
        <v>59</v>
      </c>
      <c r="M18" t="s">
        <v>60</v>
      </c>
    </row>
    <row r="19" spans="1:13" x14ac:dyDescent="0.45">
      <c r="A19">
        <v>115</v>
      </c>
      <c r="B19">
        <v>40</v>
      </c>
      <c r="C19">
        <v>2</v>
      </c>
      <c r="D19">
        <f t="shared" ref="D19:D24" si="9">$C$1*(A19+B19/60)</f>
        <v>2.0187641681401081</v>
      </c>
      <c r="E19">
        <f t="shared" ref="E19:E24" si="10">ABS($G$1*SIN(D19-$D$3)/C19)</f>
        <v>4.3635300546136445E-7</v>
      </c>
      <c r="F19">
        <f t="shared" ref="F19:F24" si="11">E19*1000000000</f>
        <v>436.35300546136443</v>
      </c>
      <c r="G19">
        <f t="shared" si="3"/>
        <v>1.0627631546209822E-8</v>
      </c>
      <c r="H19">
        <f t="shared" si="4"/>
        <v>2.4355582322557908E-2</v>
      </c>
      <c r="I19">
        <f t="shared" si="7"/>
        <v>8853745243177459</v>
      </c>
      <c r="J19">
        <f t="shared" si="8"/>
        <v>3863358346.4497433</v>
      </c>
      <c r="L19">
        <f>J25/I25</f>
        <v>4.3660438197112782E-7</v>
      </c>
      <c r="M19">
        <f>L19*1000000000</f>
        <v>436.60438197112779</v>
      </c>
    </row>
    <row r="20" spans="1:13" x14ac:dyDescent="0.45">
      <c r="A20">
        <v>107</v>
      </c>
      <c r="B20">
        <v>53</v>
      </c>
      <c r="C20">
        <v>3</v>
      </c>
      <c r="D20">
        <f t="shared" si="9"/>
        <v>1.882919374693216</v>
      </c>
      <c r="E20">
        <f t="shared" si="10"/>
        <v>4.354214865416906E-7</v>
      </c>
      <c r="F20">
        <f t="shared" si="11"/>
        <v>435.42148654169063</v>
      </c>
      <c r="G20">
        <f t="shared" si="3"/>
        <v>7.4809107031889308E-9</v>
      </c>
      <c r="H20">
        <f t="shared" si="4"/>
        <v>1.7180848750955359E-2</v>
      </c>
      <c r="I20">
        <f t="shared" si="7"/>
        <v>1.786862186752562E+16</v>
      </c>
      <c r="J20">
        <f t="shared" si="8"/>
        <v>7780381896.0093651</v>
      </c>
      <c r="L20" t="s">
        <v>5</v>
      </c>
    </row>
    <row r="21" spans="1:13" x14ac:dyDescent="0.45">
      <c r="A21">
        <v>99</v>
      </c>
      <c r="B21">
        <v>36</v>
      </c>
      <c r="C21">
        <v>4</v>
      </c>
      <c r="D21">
        <f t="shared" si="9"/>
        <v>1.7383479349863522</v>
      </c>
      <c r="E21">
        <f t="shared" si="10"/>
        <v>4.3526420998403625E-7</v>
      </c>
      <c r="F21">
        <f t="shared" si="11"/>
        <v>435.26420998403626</v>
      </c>
      <c r="G21">
        <f t="shared" si="3"/>
        <v>5.8129721284083972E-9</v>
      </c>
      <c r="H21">
        <f t="shared" si="4"/>
        <v>1.3355042742020056E-2</v>
      </c>
      <c r="I21">
        <f t="shared" si="7"/>
        <v>2.9593989727525744E+16</v>
      </c>
      <c r="J21">
        <f t="shared" si="8"/>
        <v>12881204559.027178</v>
      </c>
      <c r="L21">
        <f>SQRT(1/I25)</f>
        <v>1.4698707463401012E-9</v>
      </c>
    </row>
    <row r="22" spans="1:13" x14ac:dyDescent="0.45">
      <c r="A22">
        <v>153</v>
      </c>
      <c r="B22">
        <v>29.5</v>
      </c>
      <c r="C22">
        <v>-3</v>
      </c>
      <c r="D22">
        <f t="shared" si="9"/>
        <v>2.678934957706963</v>
      </c>
      <c r="E22">
        <f t="shared" si="10"/>
        <v>4.3677921840136444E-7</v>
      </c>
      <c r="F22">
        <f t="shared" si="11"/>
        <v>436.77921840136446</v>
      </c>
      <c r="G22">
        <f>SQRT((SIN(D22)*$H$1/C22)^2+($G$1*COS(D22)*K18/C22)^2)</f>
        <v>3.5084550171903105E-9</v>
      </c>
      <c r="H22">
        <f t="shared" si="4"/>
        <v>8.032559401592974E-3</v>
      </c>
      <c r="I22">
        <f t="shared" si="7"/>
        <v>8.1239674488440688E+16</v>
      </c>
      <c r="J22">
        <f t="shared" si="8"/>
        <v>35483801526.242393</v>
      </c>
    </row>
    <row r="23" spans="1:13" x14ac:dyDescent="0.45">
      <c r="A23">
        <v>161</v>
      </c>
      <c r="B23">
        <v>49.5</v>
      </c>
      <c r="C23">
        <v>-4</v>
      </c>
      <c r="D23">
        <f t="shared" si="9"/>
        <v>2.8243790620398235</v>
      </c>
      <c r="E23">
        <f t="shared" si="10"/>
        <v>4.3684045188618025E-7</v>
      </c>
      <c r="F23">
        <f t="shared" si="11"/>
        <v>436.84045188618023</v>
      </c>
      <c r="G23">
        <f>SQRT((SIN(D23)*$H$1/C23)^2+($G$1*COS(D23)*K19/C23)^2)</f>
        <v>1.8389369102992224E-9</v>
      </c>
      <c r="H23">
        <f t="shared" si="4"/>
        <v>4.2096305467112776E-3</v>
      </c>
      <c r="I23">
        <f t="shared" si="7"/>
        <v>2.9571022403609997E+17</v>
      </c>
      <c r="J23">
        <f t="shared" si="8"/>
        <v>129178187895.29352</v>
      </c>
    </row>
    <row r="24" spans="1:13" x14ac:dyDescent="0.45">
      <c r="A24">
        <v>99</v>
      </c>
      <c r="B24">
        <v>33</v>
      </c>
      <c r="C24">
        <v>4</v>
      </c>
      <c r="D24">
        <f t="shared" si="9"/>
        <v>1.7374752703603551</v>
      </c>
      <c r="E24">
        <f t="shared" si="10"/>
        <v>4.35894955769637E-7</v>
      </c>
      <c r="F24">
        <f t="shared" si="11"/>
        <v>435.89495576963702</v>
      </c>
      <c r="G24">
        <f>SQRT((SIN(D24)*$H$1/C24)^2+($G$1*COS(D24)*K20/C24)^2)</f>
        <v>5.8138279105776785E-9</v>
      </c>
      <c r="H24">
        <f t="shared" si="4"/>
        <v>1.3337681094089528E-2</v>
      </c>
      <c r="I24">
        <f t="shared" si="7"/>
        <v>2.9585278033560616E+16</v>
      </c>
      <c r="J24">
        <f t="shared" si="8"/>
        <v>12896073459.871319</v>
      </c>
    </row>
    <row r="25" spans="1:13" x14ac:dyDescent="0.45">
      <c r="I25">
        <f>SUM(I19:I24)</f>
        <v>4.6285153339633011E+17</v>
      </c>
      <c r="J25">
        <f>SUM(J19:J24)</f>
        <v>202083007682.89352</v>
      </c>
    </row>
    <row r="26" spans="1:13" x14ac:dyDescent="0.45">
      <c r="A26" t="s">
        <v>28</v>
      </c>
      <c r="B26">
        <v>4916.1000000000004</v>
      </c>
      <c r="C26">
        <v>80</v>
      </c>
      <c r="E26">
        <f>ABS(B26/10000000000-L27)/L29</f>
        <v>0.39317159493223669</v>
      </c>
      <c r="L26" t="s">
        <v>59</v>
      </c>
      <c r="M26" t="s">
        <v>60</v>
      </c>
    </row>
    <row r="27" spans="1:13" x14ac:dyDescent="0.45">
      <c r="A27">
        <v>122</v>
      </c>
      <c r="B27">
        <v>17</v>
      </c>
      <c r="C27">
        <v>1</v>
      </c>
      <c r="D27">
        <f t="shared" ref="D27:D32" si="12">$C$1*(A27+B27/60)</f>
        <v>2.1342467869803992</v>
      </c>
      <c r="E27">
        <f t="shared" ref="E27:E32" si="13">ABS($G$1*SIN(D27-$D$3)/C27)</f>
        <v>4.9116653681178495E-7</v>
      </c>
      <c r="F27">
        <f t="shared" ref="F27:F32" si="14">E27*1000000000</f>
        <v>491.16653681178497</v>
      </c>
      <c r="G27">
        <f t="shared" si="3"/>
        <v>1.9936740655500909E-8</v>
      </c>
      <c r="H27">
        <f t="shared" si="4"/>
        <v>4.0590592317042699E-2</v>
      </c>
      <c r="I27">
        <f t="shared" si="7"/>
        <v>2515890186527806</v>
      </c>
      <c r="J27">
        <f t="shared" si="8"/>
        <v>1235721069.9156182</v>
      </c>
      <c r="L27">
        <f>J33/I33</f>
        <v>4.9259173416523446E-7</v>
      </c>
      <c r="M27">
        <f>L27*1000000000</f>
        <v>492.59173416523447</v>
      </c>
    </row>
    <row r="28" spans="1:13" x14ac:dyDescent="0.45">
      <c r="A28">
        <v>113</v>
      </c>
      <c r="B28">
        <v>41</v>
      </c>
      <c r="C28">
        <v>2</v>
      </c>
      <c r="D28">
        <f t="shared" si="12"/>
        <v>1.9841484713088871</v>
      </c>
      <c r="E28">
        <f t="shared" si="13"/>
        <v>4.9251736550575802E-7</v>
      </c>
      <c r="F28">
        <f t="shared" si="14"/>
        <v>492.51736550575799</v>
      </c>
      <c r="G28">
        <f t="shared" si="3"/>
        <v>1.0798016162998733E-8</v>
      </c>
      <c r="H28">
        <f t="shared" si="4"/>
        <v>2.1924132871762658E-2</v>
      </c>
      <c r="I28">
        <f t="shared" si="7"/>
        <v>8576538738612586</v>
      </c>
      <c r="J28">
        <f t="shared" si="8"/>
        <v>4224094264.6995478</v>
      </c>
      <c r="L28" t="s">
        <v>5</v>
      </c>
    </row>
    <row r="29" spans="1:13" x14ac:dyDescent="0.45">
      <c r="A29">
        <v>139</v>
      </c>
      <c r="B29">
        <v>2</v>
      </c>
      <c r="C29">
        <v>-1</v>
      </c>
      <c r="D29">
        <f t="shared" si="12"/>
        <v>2.4265894366894494</v>
      </c>
      <c r="E29">
        <f t="shared" si="13"/>
        <v>4.9213797104661964E-7</v>
      </c>
      <c r="F29">
        <f t="shared" si="14"/>
        <v>492.13797104661967</v>
      </c>
      <c r="G29">
        <f t="shared" si="3"/>
        <v>1.5460913622003654E-8</v>
      </c>
      <c r="H29">
        <f t="shared" si="4"/>
        <v>3.1415811279758087E-2</v>
      </c>
      <c r="I29">
        <f t="shared" si="7"/>
        <v>4183402892391394</v>
      </c>
      <c r="J29">
        <f t="shared" si="8"/>
        <v>2058811411.5320606</v>
      </c>
      <c r="L29">
        <f>SQRT(1/I33)</f>
        <v>2.4969610670974717E-9</v>
      </c>
    </row>
    <row r="30" spans="1:13" x14ac:dyDescent="0.45">
      <c r="A30">
        <v>104</v>
      </c>
      <c r="B30">
        <v>41</v>
      </c>
      <c r="C30">
        <v>3</v>
      </c>
      <c r="D30">
        <f t="shared" si="12"/>
        <v>1.8270688386293974</v>
      </c>
      <c r="E30">
        <f t="shared" si="13"/>
        <v>4.9265826722480316E-7</v>
      </c>
      <c r="F30">
        <f t="shared" si="14"/>
        <v>492.65826722480318</v>
      </c>
      <c r="G30">
        <f t="shared" si="3"/>
        <v>7.603991799771209E-9</v>
      </c>
      <c r="H30">
        <f t="shared" si="4"/>
        <v>1.5434617270517575E-2</v>
      </c>
      <c r="I30">
        <f t="shared" si="7"/>
        <v>1.7294846838952698E+16</v>
      </c>
      <c r="J30">
        <f t="shared" si="8"/>
        <v>8520449275.5968008</v>
      </c>
    </row>
    <row r="31" spans="1:13" x14ac:dyDescent="0.45">
      <c r="A31">
        <v>147</v>
      </c>
      <c r="B31">
        <v>37</v>
      </c>
      <c r="C31">
        <v>-2</v>
      </c>
      <c r="D31">
        <f t="shared" si="12"/>
        <v>2.5763968641522963</v>
      </c>
      <c r="E31">
        <f t="shared" si="13"/>
        <v>4.925173655057577E-7</v>
      </c>
      <c r="F31">
        <f t="shared" si="14"/>
        <v>492.51736550575771</v>
      </c>
      <c r="G31">
        <f t="shared" si="3"/>
        <v>6.3150728417116915E-9</v>
      </c>
      <c r="H31">
        <f t="shared" si="4"/>
        <v>1.282203082367837E-2</v>
      </c>
      <c r="I31">
        <f t="shared" si="7"/>
        <v>2.5075134508592604E+16</v>
      </c>
      <c r="J31">
        <f t="shared" si="8"/>
        <v>12349939187.874542</v>
      </c>
    </row>
    <row r="32" spans="1:13" x14ac:dyDescent="0.45">
      <c r="A32">
        <v>156</v>
      </c>
      <c r="B32">
        <v>37</v>
      </c>
      <c r="C32">
        <v>-3</v>
      </c>
      <c r="D32">
        <f t="shared" si="12"/>
        <v>2.733476496831786</v>
      </c>
      <c r="E32">
        <f t="shared" si="13"/>
        <v>4.9265826722480295E-7</v>
      </c>
      <c r="F32">
        <f t="shared" si="14"/>
        <v>492.65826722480296</v>
      </c>
      <c r="G32">
        <f t="shared" si="3"/>
        <v>3.1197659766586674E-9</v>
      </c>
      <c r="H32">
        <f t="shared" si="4"/>
        <v>6.3325152224332796E-3</v>
      </c>
      <c r="I32">
        <f t="shared" si="7"/>
        <v>1.0274388065442632E+17</v>
      </c>
      <c r="J32">
        <f t="shared" si="8"/>
        <v>50617622211.161621</v>
      </c>
    </row>
    <row r="33" spans="1:13" x14ac:dyDescent="0.45">
      <c r="I33">
        <f>SUM(I27:I32)</f>
        <v>1.6038969381950342E+17</v>
      </c>
      <c r="J33">
        <f>SUM(J27:J32)</f>
        <v>79006637420.780182</v>
      </c>
    </row>
    <row r="34" spans="1:13" x14ac:dyDescent="0.45">
      <c r="A34" t="s">
        <v>29</v>
      </c>
      <c r="B34">
        <v>4970.37</v>
      </c>
      <c r="C34">
        <v>5</v>
      </c>
      <c r="D34" t="s">
        <v>61</v>
      </c>
      <c r="E34">
        <f>ABS(B34/10000000000-L35)/L37</f>
        <v>0.69476414588410029</v>
      </c>
      <c r="L34" t="s">
        <v>59</v>
      </c>
      <c r="M34" t="s">
        <v>60</v>
      </c>
    </row>
    <row r="35" spans="1:13" x14ac:dyDescent="0.45">
      <c r="A35">
        <v>122</v>
      </c>
      <c r="B35">
        <v>10</v>
      </c>
      <c r="C35">
        <v>1</v>
      </c>
      <c r="D35">
        <f t="shared" ref="D35:D40" si="15">$C$1*(A35+B35/60)</f>
        <v>2.1322105695197395</v>
      </c>
      <c r="E35">
        <f t="shared" ref="E35:E40" si="16">ABS($G$1*SIN(D35-$D$3)/C35)</f>
        <v>4.9796569908177851E-7</v>
      </c>
      <c r="F35">
        <f t="shared" ref="F35:F40" si="17">E35*1000000000</f>
        <v>497.9656990817785</v>
      </c>
      <c r="G35">
        <f t="shared" si="3"/>
        <v>1.9962346216806525E-8</v>
      </c>
      <c r="H35">
        <f t="shared" si="4"/>
        <v>4.0087793704698935E-2</v>
      </c>
      <c r="I35">
        <f t="shared" si="7"/>
        <v>2509440096576574</v>
      </c>
      <c r="J35">
        <f t="shared" si="8"/>
        <v>1249615091.9955995</v>
      </c>
      <c r="L35">
        <f>J41/I41</f>
        <v>4.9530750528172237E-7</v>
      </c>
      <c r="M35">
        <f>L35*1000000000</f>
        <v>495.3075052817224</v>
      </c>
    </row>
    <row r="36" spans="1:13" x14ac:dyDescent="0.45">
      <c r="A36">
        <v>113</v>
      </c>
      <c r="B36">
        <v>32</v>
      </c>
      <c r="C36">
        <v>2</v>
      </c>
      <c r="D36">
        <f t="shared" si="15"/>
        <v>1.9815304774308955</v>
      </c>
      <c r="E36">
        <f t="shared" si="16"/>
        <v>4.9674192688262812E-7</v>
      </c>
      <c r="F36">
        <f t="shared" si="17"/>
        <v>496.74192688262809</v>
      </c>
      <c r="G36">
        <f t="shared" si="3"/>
        <v>1.081037862314391E-8</v>
      </c>
      <c r="H36">
        <f t="shared" si="4"/>
        <v>2.1762565304253498E-2</v>
      </c>
      <c r="I36">
        <f t="shared" si="7"/>
        <v>8556934153584817</v>
      </c>
      <c r="J36">
        <f t="shared" si="8"/>
        <v>4250587959.6594925</v>
      </c>
      <c r="L36" t="s">
        <v>5</v>
      </c>
    </row>
    <row r="37" spans="1:13" x14ac:dyDescent="0.45">
      <c r="A37">
        <v>139</v>
      </c>
      <c r="B37">
        <v>5.5</v>
      </c>
      <c r="C37">
        <v>-1</v>
      </c>
      <c r="D37">
        <f t="shared" si="15"/>
        <v>2.4276075454197796</v>
      </c>
      <c r="E37">
        <f t="shared" si="16"/>
        <v>4.9553766239272025E-7</v>
      </c>
      <c r="F37">
        <f t="shared" si="17"/>
        <v>495.53766239272028</v>
      </c>
      <c r="G37">
        <f t="shared" si="3"/>
        <v>1.5442776497578609E-8</v>
      </c>
      <c r="H37">
        <f t="shared" si="4"/>
        <v>3.1163678706100043E-2</v>
      </c>
      <c r="I37">
        <f t="shared" si="7"/>
        <v>4193235250620789</v>
      </c>
      <c r="J37">
        <f t="shared" si="8"/>
        <v>2077905993.9553783</v>
      </c>
      <c r="L37">
        <f>SQRT(1/I41)</f>
        <v>2.4893263829509302E-9</v>
      </c>
    </row>
    <row r="38" spans="1:13" x14ac:dyDescent="0.45">
      <c r="A38">
        <v>104</v>
      </c>
      <c r="B38">
        <v>25</v>
      </c>
      <c r="C38">
        <v>3</v>
      </c>
      <c r="D38">
        <f t="shared" si="15"/>
        <v>1.8224146272907458</v>
      </c>
      <c r="E38">
        <f t="shared" si="16"/>
        <v>4.973610791561132E-7</v>
      </c>
      <c r="F38">
        <f t="shared" si="17"/>
        <v>497.36107915611319</v>
      </c>
      <c r="G38">
        <f t="shared" si="3"/>
        <v>7.6131829525415683E-9</v>
      </c>
      <c r="H38">
        <f t="shared" si="4"/>
        <v>1.5307154643984355E-2</v>
      </c>
      <c r="I38">
        <f t="shared" si="7"/>
        <v>1.7253113013031552E+16</v>
      </c>
      <c r="J38">
        <f t="shared" si="8"/>
        <v>8581026906.9637527</v>
      </c>
    </row>
    <row r="39" spans="1:13" x14ac:dyDescent="0.45">
      <c r="A39">
        <v>156</v>
      </c>
      <c r="B39">
        <v>43</v>
      </c>
      <c r="C39">
        <v>-3</v>
      </c>
      <c r="D39">
        <f t="shared" si="15"/>
        <v>2.7352218260837802</v>
      </c>
      <c r="E39">
        <f t="shared" si="16"/>
        <v>4.9442307777583935E-7</v>
      </c>
      <c r="F39">
        <f t="shared" si="17"/>
        <v>494.42307777583937</v>
      </c>
      <c r="G39">
        <f t="shared" si="3"/>
        <v>3.107168486522827E-9</v>
      </c>
      <c r="H39">
        <f t="shared" si="4"/>
        <v>6.2844325562237402E-3</v>
      </c>
      <c r="I39">
        <f t="shared" si="7"/>
        <v>1.0357868495910258E+17</v>
      </c>
      <c r="J39">
        <f t="shared" si="8"/>
        <v>51211692209.453537</v>
      </c>
    </row>
    <row r="40" spans="1:13" x14ac:dyDescent="0.45">
      <c r="A40">
        <v>147</v>
      </c>
      <c r="B40">
        <v>46</v>
      </c>
      <c r="C40">
        <v>-2</v>
      </c>
      <c r="D40">
        <f t="shared" si="15"/>
        <v>2.5790148580302881</v>
      </c>
      <c r="E40">
        <f t="shared" si="16"/>
        <v>4.9674192688262812E-7</v>
      </c>
      <c r="F40">
        <f t="shared" si="17"/>
        <v>496.74192688262809</v>
      </c>
      <c r="G40">
        <f t="shared" si="3"/>
        <v>6.2889829130961985E-9</v>
      </c>
      <c r="H40">
        <f t="shared" si="4"/>
        <v>1.2660463256169196E-2</v>
      </c>
      <c r="I40">
        <f t="shared" si="7"/>
        <v>2.5283615108602668E+16</v>
      </c>
      <c r="J40">
        <f t="shared" si="8"/>
        <v>12559431687.606018</v>
      </c>
    </row>
    <row r="41" spans="1:13" x14ac:dyDescent="0.45">
      <c r="I41">
        <f>SUM(I35:I40)</f>
        <v>1.6137502258151898E+17</v>
      </c>
      <c r="J41">
        <f>SUM(J35:J40)</f>
        <v>79930259849.633774</v>
      </c>
    </row>
    <row r="42" spans="1:13" x14ac:dyDescent="0.45">
      <c r="A42" t="s">
        <v>30</v>
      </c>
      <c r="B42">
        <v>5460.7</v>
      </c>
      <c r="C42">
        <v>1100</v>
      </c>
      <c r="E42">
        <f>ABS(B42/10000000000-L43)/L45</f>
        <v>0.73875181221526887</v>
      </c>
      <c r="L42" t="s">
        <v>59</v>
      </c>
      <c r="M42" t="s">
        <v>60</v>
      </c>
    </row>
    <row r="43" spans="1:13" x14ac:dyDescent="0.45">
      <c r="A43">
        <v>111</v>
      </c>
      <c r="B43">
        <v>43</v>
      </c>
      <c r="C43">
        <v>2</v>
      </c>
      <c r="D43">
        <f t="shared" ref="D43:D48" si="18">$C$1*(A43+B43/60)</f>
        <v>1.9498236626863319</v>
      </c>
      <c r="E43">
        <f t="shared" ref="E43:E48" si="19">ABS($G$1*SIN(D43-$D$3)/C43)</f>
        <v>5.47627259944669E-7</v>
      </c>
      <c r="F43">
        <f t="shared" ref="F43:F48" si="20">E43*1000000000</f>
        <v>547.62725994466905</v>
      </c>
      <c r="G43">
        <f t="shared" si="3"/>
        <v>1.0954194735747043E-8</v>
      </c>
      <c r="H43">
        <f t="shared" si="4"/>
        <v>2.000301215256127E-2</v>
      </c>
      <c r="I43">
        <f t="shared" si="7"/>
        <v>8333723469050779</v>
      </c>
      <c r="J43">
        <f t="shared" si="8"/>
        <v>4563774148.4928598</v>
      </c>
      <c r="L43">
        <f>J49/I49</f>
        <v>5.4669405898471639E-7</v>
      </c>
      <c r="M43">
        <f>L43*1000000000</f>
        <v>546.69405898471643</v>
      </c>
    </row>
    <row r="44" spans="1:13" x14ac:dyDescent="0.45">
      <c r="A44">
        <v>101</v>
      </c>
      <c r="B44">
        <v>34</v>
      </c>
      <c r="C44">
        <v>3</v>
      </c>
      <c r="D44">
        <f t="shared" si="18"/>
        <v>1.7726727436089074</v>
      </c>
      <c r="E44">
        <f t="shared" si="19"/>
        <v>5.4692911865475844E-7</v>
      </c>
      <c r="F44">
        <f t="shared" si="20"/>
        <v>546.92911865475844</v>
      </c>
      <c r="G44">
        <f t="shared" si="3"/>
        <v>7.7010758139507335E-9</v>
      </c>
      <c r="H44">
        <f t="shared" si="4"/>
        <v>1.4080573791522577E-2</v>
      </c>
      <c r="I44">
        <f t="shared" si="7"/>
        <v>1.6861538646582234E+16</v>
      </c>
      <c r="J44">
        <f t="shared" si="8"/>
        <v>9222066471.1383705</v>
      </c>
      <c r="L44" t="s">
        <v>5</v>
      </c>
    </row>
    <row r="45" spans="1:13" x14ac:dyDescent="0.45">
      <c r="A45">
        <v>90</v>
      </c>
      <c r="B45">
        <v>13</v>
      </c>
      <c r="C45">
        <v>4</v>
      </c>
      <c r="D45">
        <f t="shared" si="18"/>
        <v>1.5745778735075511</v>
      </c>
      <c r="E45">
        <f t="shared" si="19"/>
        <v>5.4731273488130481E-7</v>
      </c>
      <c r="F45">
        <f t="shared" si="20"/>
        <v>547.31273488130478</v>
      </c>
      <c r="G45">
        <f t="shared" si="3"/>
        <v>5.8954908000445256E-9</v>
      </c>
      <c r="H45">
        <f t="shared" si="4"/>
        <v>1.077170404471417E-2</v>
      </c>
      <c r="I45">
        <f t="shared" si="7"/>
        <v>2.8771338594555448E+16</v>
      </c>
      <c r="J45">
        <f t="shared" si="8"/>
        <v>15746920012.382179</v>
      </c>
      <c r="L45">
        <f>SQRT(1/I49)</f>
        <v>8.4474782247244886E-10</v>
      </c>
    </row>
    <row r="46" spans="1:13" x14ac:dyDescent="0.45">
      <c r="A46">
        <v>159</v>
      </c>
      <c r="B46">
        <v>41</v>
      </c>
      <c r="C46">
        <v>-3</v>
      </c>
      <c r="D46">
        <f t="shared" si="18"/>
        <v>2.7869999272262787</v>
      </c>
      <c r="E46">
        <f t="shared" si="19"/>
        <v>5.4607081006175108E-7</v>
      </c>
      <c r="F46">
        <f t="shared" si="20"/>
        <v>546.0708100617511</v>
      </c>
      <c r="G46">
        <f t="shared" si="3"/>
        <v>2.7293052055804591E-9</v>
      </c>
      <c r="H46">
        <f t="shared" si="4"/>
        <v>4.9980792880539105E-3</v>
      </c>
      <c r="I46">
        <f t="shared" si="7"/>
        <v>1.3424428092188827E+17</v>
      </c>
      <c r="J46">
        <f t="shared" si="8"/>
        <v>73306883229.172806</v>
      </c>
    </row>
    <row r="47" spans="1:13" x14ac:dyDescent="0.45">
      <c r="A47">
        <v>171</v>
      </c>
      <c r="B47">
        <v>2</v>
      </c>
      <c r="C47">
        <v>-4</v>
      </c>
      <c r="D47">
        <f t="shared" si="18"/>
        <v>2.9850947973276347</v>
      </c>
      <c r="E47">
        <f t="shared" si="19"/>
        <v>5.4675198545145892E-7</v>
      </c>
      <c r="F47">
        <f t="shared" si="20"/>
        <v>546.75198545145895</v>
      </c>
      <c r="G47">
        <f t="shared" si="3"/>
        <v>9.1887673329640061E-10</v>
      </c>
      <c r="H47">
        <f t="shared" si="4"/>
        <v>1.6806097787421372E-3</v>
      </c>
      <c r="I47">
        <f t="shared" si="7"/>
        <v>1.184364796229001E+18</v>
      </c>
      <c r="J47">
        <f t="shared" si="8"/>
        <v>647553803837.0188</v>
      </c>
    </row>
    <row r="48" spans="1:13" x14ac:dyDescent="0.45">
      <c r="A48">
        <v>90</v>
      </c>
      <c r="B48">
        <v>19</v>
      </c>
      <c r="C48">
        <v>4</v>
      </c>
      <c r="D48">
        <f t="shared" si="18"/>
        <v>1.5763232027595453</v>
      </c>
      <c r="E48">
        <f t="shared" si="19"/>
        <v>5.4619081964619254E-7</v>
      </c>
      <c r="F48">
        <f t="shared" si="20"/>
        <v>546.19081964619249</v>
      </c>
      <c r="G48">
        <f t="shared" si="3"/>
        <v>5.8954429100358603E-9</v>
      </c>
      <c r="H48">
        <f t="shared" si="4"/>
        <v>1.0793742219715019E-2</v>
      </c>
      <c r="I48">
        <f t="shared" si="7"/>
        <v>2.8771806028562348E+16</v>
      </c>
      <c r="J48">
        <f t="shared" si="8"/>
        <v>15714896317.441732</v>
      </c>
    </row>
    <row r="49" spans="1:13" x14ac:dyDescent="0.45">
      <c r="I49">
        <f>SUM(I43:I48)</f>
        <v>1.4013474838896402E+18</v>
      </c>
      <c r="J49">
        <f>SUM(J43:J48)</f>
        <v>766108344015.64685</v>
      </c>
    </row>
    <row r="50" spans="1:13" x14ac:dyDescent="0.45">
      <c r="A50" t="s">
        <v>31</v>
      </c>
      <c r="B50">
        <v>5769.6</v>
      </c>
      <c r="C50">
        <v>240</v>
      </c>
      <c r="E50">
        <f>ABS(B50/10000000000-L51)/L53</f>
        <v>1.4576481007699005</v>
      </c>
      <c r="L50" t="s">
        <v>59</v>
      </c>
      <c r="M50" t="s">
        <v>60</v>
      </c>
    </row>
    <row r="51" spans="1:13" x14ac:dyDescent="0.45">
      <c r="A51">
        <v>120</v>
      </c>
      <c r="B51">
        <v>49</v>
      </c>
      <c r="C51">
        <v>1</v>
      </c>
      <c r="D51">
        <f t="shared" ref="D51:D57" si="21">$C$1*(A51+B51/60)</f>
        <v>2.1086486246178158</v>
      </c>
      <c r="E51">
        <f t="shared" ref="E51:E57" si="22">ABS($G$1*SIN(D51-$D$3)/C51)</f>
        <v>5.7648432986018167E-7</v>
      </c>
      <c r="F51">
        <f t="shared" ref="F51:F57" si="23">E51*1000000000</f>
        <v>576.48432986018167</v>
      </c>
      <c r="G51">
        <f t="shared" si="3"/>
        <v>2.0252592161600187E-8</v>
      </c>
      <c r="H51">
        <f t="shared" si="4"/>
        <v>3.5131210186601557E-2</v>
      </c>
      <c r="I51">
        <f t="shared" si="7"/>
        <v>2438028430273990</v>
      </c>
      <c r="J51">
        <f t="shared" si="8"/>
        <v>1405485185.8065717</v>
      </c>
      <c r="L51">
        <f>J58/I58</f>
        <v>5.778401896495382E-7</v>
      </c>
      <c r="M51">
        <f>L51*1000000000</f>
        <v>577.84018964953816</v>
      </c>
    </row>
    <row r="52" spans="1:13" x14ac:dyDescent="0.45">
      <c r="A52">
        <v>110</v>
      </c>
      <c r="B52">
        <v>37.5</v>
      </c>
      <c r="C52">
        <v>2</v>
      </c>
      <c r="D52">
        <f t="shared" si="21"/>
        <v>1.9307704850187271</v>
      </c>
      <c r="E52">
        <f t="shared" si="22"/>
        <v>5.7794360052735147E-7</v>
      </c>
      <c r="F52">
        <f t="shared" si="23"/>
        <v>577.94360052735146</v>
      </c>
      <c r="G52">
        <f t="shared" si="3"/>
        <v>1.1035328464841573E-8</v>
      </c>
      <c r="H52">
        <f t="shared" si="4"/>
        <v>1.9094126926524072E-2</v>
      </c>
      <c r="I52">
        <f t="shared" si="7"/>
        <v>8211631862912547</v>
      </c>
      <c r="J52">
        <f t="shared" si="8"/>
        <v>4745860085.0567999</v>
      </c>
      <c r="L52" t="s">
        <v>5</v>
      </c>
    </row>
    <row r="53" spans="1:13" x14ac:dyDescent="0.45">
      <c r="A53">
        <v>140</v>
      </c>
      <c r="B53">
        <v>29</v>
      </c>
      <c r="C53">
        <v>-1</v>
      </c>
      <c r="D53">
        <f t="shared" si="21"/>
        <v>2.4518967108433669</v>
      </c>
      <c r="E53">
        <f t="shared" si="22"/>
        <v>5.764843298601787E-7</v>
      </c>
      <c r="F53">
        <f t="shared" si="23"/>
        <v>576.48432986017872</v>
      </c>
      <c r="G53">
        <f t="shared" si="3"/>
        <v>1.5005372962091336E-8</v>
      </c>
      <c r="H53">
        <f t="shared" si="4"/>
        <v>2.6029108138517415E-2</v>
      </c>
      <c r="I53">
        <f t="shared" si="7"/>
        <v>4441262176831220</v>
      </c>
      <c r="J53">
        <f t="shared" si="8"/>
        <v>2560318049.7439046</v>
      </c>
      <c r="L53">
        <f>SQRT(1/I58)</f>
        <v>6.0384234649865539E-10</v>
      </c>
    </row>
    <row r="54" spans="1:13" x14ac:dyDescent="0.45">
      <c r="A54">
        <v>99</v>
      </c>
      <c r="B54">
        <v>47</v>
      </c>
      <c r="C54">
        <v>3</v>
      </c>
      <c r="D54">
        <f t="shared" si="21"/>
        <v>1.7415477052816752</v>
      </c>
      <c r="E54">
        <f t="shared" si="22"/>
        <v>5.772648575466746E-7</v>
      </c>
      <c r="F54">
        <f t="shared" si="23"/>
        <v>577.26485754667465</v>
      </c>
      <c r="G54">
        <f t="shared" si="3"/>
        <v>7.7463951885961694E-9</v>
      </c>
      <c r="H54">
        <f t="shared" si="4"/>
        <v>1.3419135232859444E-2</v>
      </c>
      <c r="I54">
        <f t="shared" si="7"/>
        <v>1.6664822865691502E+16</v>
      </c>
      <c r="J54">
        <f t="shared" si="8"/>
        <v>9620016597.6039696</v>
      </c>
    </row>
    <row r="55" spans="1:13" x14ac:dyDescent="0.45">
      <c r="A55">
        <v>87</v>
      </c>
      <c r="B55">
        <v>31</v>
      </c>
      <c r="C55">
        <v>4</v>
      </c>
      <c r="D55">
        <f t="shared" si="21"/>
        <v>1.527453983703704</v>
      </c>
      <c r="E55">
        <f t="shared" si="22"/>
        <v>5.769631669959542E-7</v>
      </c>
      <c r="F55">
        <f t="shared" si="23"/>
        <v>576.96316699595423</v>
      </c>
      <c r="G55">
        <f t="shared" si="3"/>
        <v>5.8899962677930501E-9</v>
      </c>
      <c r="H55">
        <f t="shared" si="4"/>
        <v>1.0208617472862617E-2</v>
      </c>
      <c r="I55">
        <f t="shared" si="7"/>
        <v>2.8825042799486736E+16</v>
      </c>
      <c r="J55">
        <f t="shared" si="8"/>
        <v>16630987982.385794</v>
      </c>
    </row>
    <row r="56" spans="1:13" x14ac:dyDescent="0.45">
      <c r="A56">
        <v>161</v>
      </c>
      <c r="B56">
        <v>33</v>
      </c>
      <c r="C56">
        <v>-3</v>
      </c>
      <c r="D56">
        <f t="shared" si="21"/>
        <v>2.8195794065968394</v>
      </c>
      <c r="E56">
        <f t="shared" si="22"/>
        <v>5.7782664761876593E-7</v>
      </c>
      <c r="F56">
        <f t="shared" si="23"/>
        <v>577.82664761876595</v>
      </c>
      <c r="G56">
        <f t="shared" si="3"/>
        <v>2.4877338519880633E-9</v>
      </c>
      <c r="H56">
        <f t="shared" si="4"/>
        <v>4.3053290502264984E-3</v>
      </c>
      <c r="I56">
        <f t="shared" si="7"/>
        <v>1.6158169820953629E+17</v>
      </c>
      <c r="J56">
        <f t="shared" si="8"/>
        <v>93366210992.963501</v>
      </c>
    </row>
    <row r="57" spans="1:13" x14ac:dyDescent="0.45">
      <c r="A57">
        <v>173</v>
      </c>
      <c r="B57">
        <v>52</v>
      </c>
      <c r="C57">
        <v>-4</v>
      </c>
      <c r="D57">
        <f t="shared" si="21"/>
        <v>3.0345457928008077</v>
      </c>
      <c r="E57">
        <f t="shared" si="22"/>
        <v>5.7785825613377264E-7</v>
      </c>
      <c r="F57">
        <f t="shared" si="23"/>
        <v>577.85825613377267</v>
      </c>
      <c r="G57">
        <f t="shared" si="3"/>
        <v>6.298936899612446E-10</v>
      </c>
      <c r="H57">
        <f t="shared" si="4"/>
        <v>1.090048784931483E-3</v>
      </c>
      <c r="I57">
        <f t="shared" si="7"/>
        <v>2.5203768647807544E+18</v>
      </c>
      <c r="J57">
        <f t="shared" si="8"/>
        <v>1456420579882.1121</v>
      </c>
    </row>
    <row r="58" spans="1:13" x14ac:dyDescent="0.45">
      <c r="I58">
        <f>SUM(I51:I57)</f>
        <v>2.7425393511254866E+18</v>
      </c>
      <c r="J58">
        <f>SUM(J51:J57)</f>
        <v>1584749458775.6726</v>
      </c>
    </row>
    <row r="59" spans="1:13" x14ac:dyDescent="0.45">
      <c r="A59" t="s">
        <v>32</v>
      </c>
      <c r="B59">
        <v>5789.7</v>
      </c>
      <c r="C59">
        <v>100</v>
      </c>
      <c r="E59">
        <f>ABS(B59/10000000000-L60)/L62</f>
        <v>0.87645616258981107</v>
      </c>
      <c r="L59" t="s">
        <v>59</v>
      </c>
      <c r="M59" t="s">
        <v>60</v>
      </c>
    </row>
    <row r="60" spans="1:13" x14ac:dyDescent="0.45">
      <c r="A60">
        <v>110</v>
      </c>
      <c r="B60">
        <v>36</v>
      </c>
      <c r="C60">
        <v>2</v>
      </c>
      <c r="D60">
        <f t="shared" ref="D60:D65" si="24">$C$1*(A60+B60/60)</f>
        <v>1.9303341527057283</v>
      </c>
      <c r="E60">
        <f t="shared" ref="E60:E65" si="25">ABS($G$1*SIN(D60-$D$3)/C60)</f>
        <v>5.7863545239383826E-7</v>
      </c>
      <c r="F60">
        <f t="shared" ref="F60:F65" si="26">E60*1000000000</f>
        <v>578.63545239383825</v>
      </c>
      <c r="G60">
        <f t="shared" si="3"/>
        <v>1.1037139678468037E-8</v>
      </c>
      <c r="H60">
        <f t="shared" si="4"/>
        <v>1.9074426969185768E-2</v>
      </c>
      <c r="I60">
        <f t="shared" si="7"/>
        <v>8208936998189477</v>
      </c>
      <c r="J60">
        <f t="shared" si="8"/>
        <v>4749981973.6198845</v>
      </c>
      <c r="L60">
        <f>J66/I66</f>
        <v>5.7948739527005637E-7</v>
      </c>
      <c r="M60">
        <f>L60*1000000000</f>
        <v>579.48739527005637</v>
      </c>
    </row>
    <row r="61" spans="1:13" x14ac:dyDescent="0.45">
      <c r="A61">
        <v>140</v>
      </c>
      <c r="B61">
        <v>31</v>
      </c>
      <c r="C61">
        <v>-1</v>
      </c>
      <c r="D61">
        <f t="shared" si="24"/>
        <v>2.4524784872606991</v>
      </c>
      <c r="E61">
        <f t="shared" si="25"/>
        <v>5.7841919186923018E-7</v>
      </c>
      <c r="F61">
        <f t="shared" si="26"/>
        <v>578.41919186923019</v>
      </c>
      <c r="G61">
        <f t="shared" si="3"/>
        <v>1.4994786637040338E-8</v>
      </c>
      <c r="H61">
        <f t="shared" si="4"/>
        <v>2.592373636252094E-2</v>
      </c>
      <c r="I61">
        <f t="shared" si="7"/>
        <v>4447535456080031.5</v>
      </c>
      <c r="J61">
        <f t="shared" si="8"/>
        <v>2572539864.3155599</v>
      </c>
      <c r="L61" t="s">
        <v>5</v>
      </c>
    </row>
    <row r="62" spans="1:13" x14ac:dyDescent="0.45">
      <c r="A62">
        <v>99</v>
      </c>
      <c r="B62">
        <v>39</v>
      </c>
      <c r="C62">
        <v>3</v>
      </c>
      <c r="D62">
        <f t="shared" si="24"/>
        <v>1.7392205996123495</v>
      </c>
      <c r="E62">
        <f t="shared" si="25"/>
        <v>5.7951084363440657E-7</v>
      </c>
      <c r="F62">
        <f t="shared" si="26"/>
        <v>579.51084363440657</v>
      </c>
      <c r="G62">
        <f t="shared" si="3"/>
        <v>7.7494825592106243E-9</v>
      </c>
      <c r="H62">
        <f t="shared" si="4"/>
        <v>1.3372454794132387E-2</v>
      </c>
      <c r="I62">
        <f t="shared" si="7"/>
        <v>1.6651547079815928E+16</v>
      </c>
      <c r="J62">
        <f t="shared" si="8"/>
        <v>9649752096.0421677</v>
      </c>
      <c r="L62">
        <f>SQRT(1/I66)</f>
        <v>5.9032646713047009E-10</v>
      </c>
    </row>
    <row r="63" spans="1:13" x14ac:dyDescent="0.45">
      <c r="A63">
        <v>87</v>
      </c>
      <c r="B63">
        <v>13.5</v>
      </c>
      <c r="C63">
        <v>4</v>
      </c>
      <c r="D63">
        <f t="shared" si="24"/>
        <v>1.5223634400520538</v>
      </c>
      <c r="E63">
        <f t="shared" si="25"/>
        <v>5.800906268408972E-7</v>
      </c>
      <c r="F63">
        <f t="shared" si="26"/>
        <v>580.09062684089724</v>
      </c>
      <c r="G63">
        <f t="shared" si="3"/>
        <v>5.8886195978551556E-9</v>
      </c>
      <c r="H63">
        <f t="shared" si="4"/>
        <v>1.0151206251898708E-2</v>
      </c>
      <c r="I63">
        <f t="shared" si="7"/>
        <v>2.8838522090452136E+16</v>
      </c>
      <c r="J63">
        <f t="shared" si="8"/>
        <v>16728956356.61544</v>
      </c>
    </row>
    <row r="64" spans="1:13" x14ac:dyDescent="0.45">
      <c r="A64">
        <v>161</v>
      </c>
      <c r="B64">
        <v>40</v>
      </c>
      <c r="C64">
        <v>-3</v>
      </c>
      <c r="D64">
        <f t="shared" si="24"/>
        <v>2.8216156240574994</v>
      </c>
      <c r="E64">
        <f t="shared" si="25"/>
        <v>5.7979137148335075E-7</v>
      </c>
      <c r="F64">
        <f t="shared" si="26"/>
        <v>579.79137148335076</v>
      </c>
      <c r="G64">
        <f t="shared" si="3"/>
        <v>2.472545300254726E-9</v>
      </c>
      <c r="H64">
        <f t="shared" si="4"/>
        <v>4.264543113032042E-3</v>
      </c>
      <c r="I64">
        <f t="shared" si="7"/>
        <v>1.6357294980513267E+17</v>
      </c>
      <c r="J64">
        <f t="shared" si="8"/>
        <v>94838184905.095169</v>
      </c>
    </row>
    <row r="65" spans="1:13" x14ac:dyDescent="0.45">
      <c r="A65">
        <v>174</v>
      </c>
      <c r="B65">
        <v>1</v>
      </c>
      <c r="C65">
        <v>-4</v>
      </c>
      <c r="D65">
        <f t="shared" si="24"/>
        <v>3.0371637866787995</v>
      </c>
      <c r="E65">
        <f t="shared" si="25"/>
        <v>5.7946633486203631E-7</v>
      </c>
      <c r="F65">
        <f t="shared" si="26"/>
        <v>579.46633486203632</v>
      </c>
      <c r="G65">
        <f t="shared" si="3"/>
        <v>6.1454542731421675E-10</v>
      </c>
      <c r="H65">
        <f t="shared" si="4"/>
        <v>1.0605368946248316E-3</v>
      </c>
      <c r="I65">
        <f t="shared" si="7"/>
        <v>2.6478416967916841E+18</v>
      </c>
      <c r="J65">
        <f t="shared" si="8"/>
        <v>1534335123334.7524</v>
      </c>
    </row>
    <row r="66" spans="1:13" x14ac:dyDescent="0.45">
      <c r="I66">
        <f>SUM(I60:I65)</f>
        <v>2.8695611882213545E+18</v>
      </c>
      <c r="J66">
        <f>SUM(J60:J65)</f>
        <v>1662874538530.4407</v>
      </c>
    </row>
    <row r="67" spans="1:13" x14ac:dyDescent="0.45">
      <c r="A67" t="s">
        <v>33</v>
      </c>
      <c r="B67">
        <v>6234.5</v>
      </c>
      <c r="C67">
        <v>80</v>
      </c>
      <c r="D67" t="s">
        <v>61</v>
      </c>
      <c r="E67">
        <f>ABS(B67/10000000000-L68)/L70</f>
        <v>0.18508882138892827</v>
      </c>
      <c r="L67" t="s">
        <v>59</v>
      </c>
      <c r="M67" t="s">
        <v>60</v>
      </c>
    </row>
    <row r="68" spans="1:13" x14ac:dyDescent="0.45">
      <c r="A68">
        <v>120</v>
      </c>
      <c r="B68">
        <v>0</v>
      </c>
      <c r="C68">
        <v>1</v>
      </c>
      <c r="D68">
        <f>$C$1*(A68+B68/60)</f>
        <v>2.0943951023931953</v>
      </c>
      <c r="E68">
        <f>ABS($G$1*SIN(D68-$D$3)/C68)</f>
        <v>6.2383067765217563E-7</v>
      </c>
      <c r="F68">
        <f>E68*1000000000</f>
        <v>623.83067765217561</v>
      </c>
      <c r="G68">
        <f t="shared" si="3"/>
        <v>2.0422725225750962E-8</v>
      </c>
      <c r="H68">
        <f t="shared" si="4"/>
        <v>3.2737609670965714E-2</v>
      </c>
      <c r="I68">
        <f t="shared" si="7"/>
        <v>2397577263635491.5</v>
      </c>
      <c r="J68">
        <f t="shared" si="8"/>
        <v>1495682249.0971775</v>
      </c>
      <c r="L68">
        <f>J72/I72</f>
        <v>6.226077473486373E-7</v>
      </c>
      <c r="M68">
        <f>L68*1000000000</f>
        <v>622.6077473486373</v>
      </c>
    </row>
    <row r="69" spans="1:13" x14ac:dyDescent="0.45">
      <c r="A69">
        <v>108</v>
      </c>
      <c r="B69">
        <v>59</v>
      </c>
      <c r="C69">
        <v>2</v>
      </c>
      <c r="D69">
        <f>$C$1*(A69+B69/60)</f>
        <v>1.9021179964651536</v>
      </c>
      <c r="E69">
        <f>ABS($G$1*SIN(D69-$D$3)/C69)</f>
        <v>6.2313538452923629E-7</v>
      </c>
      <c r="F69">
        <f>E69*1000000000</f>
        <v>623.13538452923626</v>
      </c>
      <c r="G69">
        <f t="shared" si="3"/>
        <v>1.1149788029547442E-8</v>
      </c>
      <c r="H69">
        <f t="shared" si="4"/>
        <v>1.7893042677990172E-2</v>
      </c>
      <c r="I69">
        <f t="shared" si="7"/>
        <v>8043902131071201</v>
      </c>
      <c r="J69">
        <f t="shared" si="8"/>
        <v>5012440047.5605965</v>
      </c>
      <c r="L69" t="s">
        <v>5</v>
      </c>
    </row>
    <row r="70" spans="1:13" x14ac:dyDescent="0.45">
      <c r="A70">
        <v>141</v>
      </c>
      <c r="B70">
        <v>18</v>
      </c>
      <c r="C70">
        <v>-1</v>
      </c>
      <c r="D70">
        <f>$C$1*(A70+B70/60)</f>
        <v>2.4661502330679879</v>
      </c>
      <c r="E70">
        <f>ABS($G$1*SIN(D70-$D$3)/C70)</f>
        <v>6.2383067765217404E-7</v>
      </c>
      <c r="F70">
        <f>E70*1000000000</f>
        <v>623.83067765217402</v>
      </c>
      <c r="G70">
        <f t="shared" ref="G70:G71" si="27">SQRT((SIN(D70)*$H$1/C70)^2+($G$1*COS(D70)*K65/C70)^2)</f>
        <v>1.4744554737035287E-8</v>
      </c>
      <c r="H70">
        <f t="shared" ref="H70:H71" si="28">G70/E70</f>
        <v>2.3635507622881493E-2</v>
      </c>
      <c r="I70">
        <f t="shared" si="7"/>
        <v>4599775925550637</v>
      </c>
      <c r="J70">
        <f t="shared" si="8"/>
        <v>2869481332.6844101</v>
      </c>
      <c r="L70">
        <f>SQRT(1/I72)</f>
        <v>4.5505322527982944E-9</v>
      </c>
    </row>
    <row r="71" spans="1:13" x14ac:dyDescent="0.45">
      <c r="A71">
        <v>152</v>
      </c>
      <c r="B71">
        <v>17</v>
      </c>
      <c r="C71">
        <v>-2</v>
      </c>
      <c r="D71">
        <f>$C$1*(A71+B71/60)</f>
        <v>2.6578455625786983</v>
      </c>
      <c r="E71">
        <f>ABS($G$1*SIN(D71-$D$3)/C71)</f>
        <v>6.2222274787006026E-7</v>
      </c>
      <c r="F71">
        <f>E71*1000000000</f>
        <v>622.22274787006029</v>
      </c>
      <c r="G71">
        <f t="shared" si="27"/>
        <v>5.4840197610947785E-9</v>
      </c>
      <c r="H71">
        <f t="shared" si="28"/>
        <v>8.8135957418259085E-3</v>
      </c>
      <c r="I71">
        <f t="shared" si="7"/>
        <v>3.325079075010262E+16</v>
      </c>
      <c r="J71">
        <f t="shared" si="8"/>
        <v>20689398389.381233</v>
      </c>
    </row>
    <row r="72" spans="1:13" x14ac:dyDescent="0.45">
      <c r="I72">
        <f>SUM(I68:I71)</f>
        <v>4.8292046070359952E+16</v>
      </c>
      <c r="J72">
        <f>SUM(J68:J71)</f>
        <v>30067002018.723419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</vt:lpstr>
      <vt:lpstr>Sodio giallo interno</vt:lpstr>
      <vt:lpstr>Sodio giallo esterno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Passaro</dc:creator>
  <cp:lastModifiedBy>Davide Passaro</cp:lastModifiedBy>
  <dcterms:created xsi:type="dcterms:W3CDTF">2016-11-07T08:02:39Z</dcterms:created>
  <dcterms:modified xsi:type="dcterms:W3CDTF">2016-11-07T15:40:33Z</dcterms:modified>
</cp:coreProperties>
</file>