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sa\Documents\Scuola\Corsi\Fisica\Laboratorio\LaboratorioOtticaElettronicaFModerna\Git\VelLuce\Data\Analyzed\"/>
    </mc:Choice>
  </mc:AlternateContent>
  <bookViews>
    <workbookView xWindow="0" yWindow="0" windowWidth="28800" windowHeight="12210" activeTab="3"/>
  </bookViews>
  <sheets>
    <sheet name="Sheet1" sheetId="2" r:id="rId1"/>
    <sheet name="Misura di c" sheetId="1" r:id="rId2"/>
    <sheet name="Misura di c (2)" sheetId="3" r:id="rId3"/>
    <sheet name="Misura di c (3)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8" i="1" l="1"/>
  <c r="V38" i="1"/>
  <c r="W38" i="1"/>
  <c r="Q13" i="1"/>
  <c r="S13" i="1" s="1"/>
  <c r="T13" i="1" s="1"/>
  <c r="Q14" i="1"/>
  <c r="Q15" i="1"/>
  <c r="Q16" i="1"/>
  <c r="Q17" i="1"/>
  <c r="Q18" i="1"/>
  <c r="Q19" i="1"/>
  <c r="Q20" i="1"/>
  <c r="Q21" i="1"/>
  <c r="S21" i="1" s="1"/>
  <c r="T21" i="1" s="1"/>
  <c r="Q22" i="1"/>
  <c r="Q23" i="1"/>
  <c r="Q24" i="1"/>
  <c r="Q25" i="1"/>
  <c r="Q26" i="1"/>
  <c r="Q27" i="1"/>
  <c r="Q28" i="1"/>
  <c r="Q29" i="1"/>
  <c r="S29" i="1" s="1"/>
  <c r="T29" i="1" s="1"/>
  <c r="Q30" i="1"/>
  <c r="Q31" i="1"/>
  <c r="Q32" i="1"/>
  <c r="Q13" i="3"/>
  <c r="Q14" i="3"/>
  <c r="Q15" i="3"/>
  <c r="Q16" i="3"/>
  <c r="Q17" i="3"/>
  <c r="Q18" i="3"/>
  <c r="Q19" i="3"/>
  <c r="Q20" i="3"/>
  <c r="Q21" i="3"/>
  <c r="Q22" i="3"/>
  <c r="T9" i="4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30" i="1"/>
  <c r="T30" i="1" s="1"/>
  <c r="S31" i="1"/>
  <c r="T31" i="1" s="1"/>
  <c r="S32" i="1"/>
  <c r="T32" i="1" s="1"/>
  <c r="T14" i="4"/>
  <c r="S9" i="4" s="1"/>
  <c r="T15" i="4"/>
  <c r="T16" i="4"/>
  <c r="T17" i="4"/>
  <c r="T18" i="4"/>
  <c r="T19" i="4"/>
  <c r="T20" i="4"/>
  <c r="T21" i="4"/>
  <c r="T22" i="4"/>
  <c r="T13" i="4"/>
  <c r="S13" i="4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42" i="4"/>
  <c r="Q42" i="4"/>
  <c r="P43" i="4"/>
  <c r="Q43" i="4"/>
  <c r="P44" i="4"/>
  <c r="Q44" i="4"/>
  <c r="P45" i="4"/>
  <c r="Q45" i="4"/>
  <c r="P46" i="4"/>
  <c r="Q46" i="4"/>
  <c r="P47" i="4"/>
  <c r="Q47" i="4"/>
  <c r="P48" i="4"/>
  <c r="Q48" i="4"/>
  <c r="P49" i="4"/>
  <c r="Q49" i="4"/>
  <c r="P50" i="4"/>
  <c r="Q50" i="4"/>
  <c r="P51" i="4"/>
  <c r="Q51" i="4"/>
  <c r="P42" i="3"/>
  <c r="Q42" i="3"/>
  <c r="P43" i="3"/>
  <c r="Q43" i="3"/>
  <c r="P44" i="3"/>
  <c r="Q44" i="3"/>
  <c r="P45" i="3"/>
  <c r="Q45" i="3"/>
  <c r="P46" i="3"/>
  <c r="Q46" i="3"/>
  <c r="P47" i="3"/>
  <c r="Q47" i="3"/>
  <c r="P48" i="3"/>
  <c r="Q48" i="3"/>
  <c r="P49" i="3"/>
  <c r="Q49" i="3"/>
  <c r="P50" i="3"/>
  <c r="Q50" i="3"/>
  <c r="P51" i="3"/>
  <c r="Q51" i="3"/>
  <c r="R51" i="4"/>
  <c r="O51" i="4"/>
  <c r="N51" i="4"/>
  <c r="M51" i="4"/>
  <c r="L51" i="4"/>
  <c r="R50" i="4"/>
  <c r="O50" i="4"/>
  <c r="N50" i="4"/>
  <c r="M50" i="4"/>
  <c r="L50" i="4"/>
  <c r="R49" i="4"/>
  <c r="O49" i="4"/>
  <c r="N49" i="4"/>
  <c r="M49" i="4"/>
  <c r="L49" i="4"/>
  <c r="R48" i="4"/>
  <c r="O48" i="4"/>
  <c r="N48" i="4"/>
  <c r="M48" i="4"/>
  <c r="L48" i="4"/>
  <c r="R47" i="4"/>
  <c r="O47" i="4"/>
  <c r="N47" i="4"/>
  <c r="M47" i="4"/>
  <c r="L47" i="4"/>
  <c r="R46" i="4"/>
  <c r="O46" i="4"/>
  <c r="N46" i="4"/>
  <c r="M46" i="4"/>
  <c r="L46" i="4"/>
  <c r="R45" i="4"/>
  <c r="O45" i="4"/>
  <c r="N45" i="4"/>
  <c r="M45" i="4"/>
  <c r="L45" i="4"/>
  <c r="R44" i="4"/>
  <c r="O44" i="4"/>
  <c r="N44" i="4"/>
  <c r="M44" i="4"/>
  <c r="L44" i="4"/>
  <c r="R43" i="4"/>
  <c r="O43" i="4"/>
  <c r="N43" i="4"/>
  <c r="M43" i="4"/>
  <c r="L43" i="4"/>
  <c r="R42" i="4"/>
  <c r="O42" i="4"/>
  <c r="N42" i="4"/>
  <c r="M42" i="4"/>
  <c r="L42" i="4"/>
  <c r="O51" i="3"/>
  <c r="N51" i="3"/>
  <c r="M51" i="3"/>
  <c r="L51" i="3"/>
  <c r="O50" i="3"/>
  <c r="N50" i="3"/>
  <c r="M50" i="3"/>
  <c r="L50" i="3"/>
  <c r="O49" i="3"/>
  <c r="N49" i="3"/>
  <c r="M49" i="3"/>
  <c r="L49" i="3"/>
  <c r="O48" i="3"/>
  <c r="N48" i="3"/>
  <c r="M48" i="3"/>
  <c r="L48" i="3"/>
  <c r="O47" i="3"/>
  <c r="N47" i="3"/>
  <c r="M47" i="3"/>
  <c r="L47" i="3"/>
  <c r="O46" i="3"/>
  <c r="N46" i="3"/>
  <c r="M46" i="3"/>
  <c r="L46" i="3"/>
  <c r="O45" i="3"/>
  <c r="N45" i="3"/>
  <c r="M45" i="3"/>
  <c r="L45" i="3"/>
  <c r="O44" i="3"/>
  <c r="N44" i="3"/>
  <c r="M44" i="3"/>
  <c r="L44" i="3"/>
  <c r="O43" i="3"/>
  <c r="N43" i="3"/>
  <c r="M43" i="3"/>
  <c r="L43" i="3"/>
  <c r="O42" i="3"/>
  <c r="N42" i="3"/>
  <c r="M42" i="3"/>
  <c r="L42" i="3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S10" i="1" l="1"/>
  <c r="T10" i="1" s="1"/>
  <c r="C7" i="2"/>
  <c r="B10" i="1"/>
  <c r="AQ13" i="1" l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B10" i="3" l="1"/>
  <c r="AH21" i="3" s="1"/>
  <c r="B10" i="4"/>
  <c r="AH15" i="4" s="1"/>
  <c r="B18" i="2"/>
  <c r="C6" i="2"/>
  <c r="C3" i="3" s="1"/>
  <c r="C3" i="1" l="1"/>
  <c r="C3" i="4"/>
  <c r="AH19" i="3"/>
  <c r="AH15" i="3"/>
  <c r="AH18" i="3"/>
  <c r="AH20" i="3"/>
  <c r="AH14" i="3"/>
  <c r="AH22" i="4"/>
  <c r="AH21" i="4"/>
  <c r="AH20" i="4"/>
  <c r="AH18" i="4"/>
  <c r="AH14" i="4"/>
  <c r="AH17" i="4"/>
  <c r="AH13" i="4"/>
  <c r="AH19" i="4"/>
  <c r="AH16" i="4"/>
  <c r="AH12" i="4"/>
  <c r="AH13" i="3"/>
  <c r="AH22" i="3"/>
  <c r="AH17" i="3"/>
  <c r="AH16" i="3"/>
  <c r="H22" i="4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B9" i="4"/>
  <c r="H22" i="3" l="1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B9" i="3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G13" i="1"/>
  <c r="H13" i="1"/>
  <c r="B7" i="2"/>
  <c r="B4" i="4" s="1"/>
  <c r="B9" i="1"/>
  <c r="B6" i="2"/>
  <c r="B3" i="4" s="1"/>
  <c r="B6" i="4" s="1"/>
  <c r="B8" i="2"/>
  <c r="F13" i="1"/>
  <c r="D4" i="2"/>
  <c r="D5" i="2"/>
  <c r="D3" i="2"/>
  <c r="B2" i="4" l="1"/>
  <c r="C8" i="2"/>
  <c r="B4" i="1"/>
  <c r="D7" i="2"/>
  <c r="B4" i="3"/>
  <c r="D6" i="2"/>
  <c r="B5" i="4"/>
  <c r="K14" i="4" s="1"/>
  <c r="B2" i="1"/>
  <c r="C4" i="4"/>
  <c r="C5" i="4" s="1"/>
  <c r="C4" i="1"/>
  <c r="C5" i="1" s="1"/>
  <c r="C4" i="3"/>
  <c r="C5" i="3" s="1"/>
  <c r="B3" i="1"/>
  <c r="B6" i="1" s="1"/>
  <c r="B2" i="3"/>
  <c r="B3" i="3"/>
  <c r="C6" i="3" s="1"/>
  <c r="O16" i="4"/>
  <c r="B31" i="4" s="1"/>
  <c r="C6" i="4"/>
  <c r="C2" i="4" l="1"/>
  <c r="M13" i="4" s="1"/>
  <c r="C2" i="1"/>
  <c r="C2" i="3"/>
  <c r="O17" i="4"/>
  <c r="B32" i="4" s="1"/>
  <c r="B6" i="3"/>
  <c r="K16" i="4"/>
  <c r="O22" i="4"/>
  <c r="B37" i="4" s="1"/>
  <c r="O18" i="4"/>
  <c r="B33" i="4" s="1"/>
  <c r="O15" i="4"/>
  <c r="B30" i="4" s="1"/>
  <c r="K13" i="4"/>
  <c r="O19" i="4"/>
  <c r="B34" i="4" s="1"/>
  <c r="K22" i="4"/>
  <c r="O20" i="4"/>
  <c r="B35" i="4" s="1"/>
  <c r="K15" i="4"/>
  <c r="B5" i="3"/>
  <c r="K13" i="3" s="1"/>
  <c r="L15" i="4"/>
  <c r="O13" i="4"/>
  <c r="W13" i="4" s="1"/>
  <c r="K18" i="4"/>
  <c r="O21" i="4"/>
  <c r="B36" i="4" s="1"/>
  <c r="K17" i="4"/>
  <c r="K19" i="4"/>
  <c r="K21" i="4"/>
  <c r="K20" i="4"/>
  <c r="L13" i="4"/>
  <c r="L20" i="4"/>
  <c r="O14" i="4"/>
  <c r="L14" i="4"/>
  <c r="L16" i="4"/>
  <c r="L22" i="4"/>
  <c r="L17" i="4"/>
  <c r="L19" i="4"/>
  <c r="L18" i="4"/>
  <c r="L21" i="4"/>
  <c r="B5" i="1"/>
  <c r="W16" i="4"/>
  <c r="C6" i="1"/>
  <c r="M22" i="4" l="1"/>
  <c r="M16" i="4"/>
  <c r="M17" i="4"/>
  <c r="M21" i="4"/>
  <c r="M15" i="4"/>
  <c r="P15" i="4" s="1"/>
  <c r="M14" i="4"/>
  <c r="P14" i="4" s="1"/>
  <c r="C29" i="4" s="1"/>
  <c r="D29" i="4" s="1"/>
  <c r="M19" i="4"/>
  <c r="P19" i="4" s="1"/>
  <c r="V19" i="4" s="1"/>
  <c r="M28" i="1"/>
  <c r="M18" i="4"/>
  <c r="P18" i="4" s="1"/>
  <c r="C33" i="4" s="1"/>
  <c r="D33" i="4" s="1"/>
  <c r="E33" i="4" s="1"/>
  <c r="M20" i="4"/>
  <c r="P20" i="4" s="1"/>
  <c r="C35" i="4" s="1"/>
  <c r="D35" i="4" s="1"/>
  <c r="E35" i="4" s="1"/>
  <c r="W17" i="4"/>
  <c r="W22" i="4"/>
  <c r="L19" i="3"/>
  <c r="L14" i="3"/>
  <c r="M15" i="3"/>
  <c r="L18" i="3"/>
  <c r="L17" i="3"/>
  <c r="K14" i="3"/>
  <c r="K20" i="3"/>
  <c r="O22" i="3"/>
  <c r="A37" i="3" s="1"/>
  <c r="M20" i="3"/>
  <c r="M18" i="3"/>
  <c r="L22" i="3"/>
  <c r="M19" i="3"/>
  <c r="K19" i="3"/>
  <c r="M14" i="3"/>
  <c r="L13" i="3"/>
  <c r="K22" i="3"/>
  <c r="O20" i="3"/>
  <c r="A35" i="3" s="1"/>
  <c r="L21" i="3"/>
  <c r="M22" i="3"/>
  <c r="O14" i="3"/>
  <c r="A29" i="3" s="1"/>
  <c r="L16" i="3"/>
  <c r="O18" i="3"/>
  <c r="A33" i="3" s="1"/>
  <c r="K21" i="3"/>
  <c r="M13" i="3"/>
  <c r="M16" i="3"/>
  <c r="K15" i="3"/>
  <c r="K17" i="3"/>
  <c r="O19" i="3"/>
  <c r="A34" i="3" s="1"/>
  <c r="O21" i="3"/>
  <c r="A36" i="3" s="1"/>
  <c r="L20" i="3"/>
  <c r="K16" i="3"/>
  <c r="K18" i="3"/>
  <c r="M21" i="3"/>
  <c r="O15" i="3"/>
  <c r="A30" i="3" s="1"/>
  <c r="L15" i="3"/>
  <c r="W15" i="4"/>
  <c r="O16" i="3"/>
  <c r="W16" i="3" s="1"/>
  <c r="O17" i="3"/>
  <c r="A32" i="3" s="1"/>
  <c r="O13" i="3"/>
  <c r="A28" i="3" s="1"/>
  <c r="M17" i="3"/>
  <c r="P16" i="4"/>
  <c r="V16" i="4" s="1"/>
  <c r="W18" i="4"/>
  <c r="W19" i="4"/>
  <c r="P13" i="4"/>
  <c r="W20" i="4"/>
  <c r="B28" i="4"/>
  <c r="W21" i="4"/>
  <c r="P22" i="4"/>
  <c r="C37" i="4" s="1"/>
  <c r="D37" i="4" s="1"/>
  <c r="E37" i="4" s="1"/>
  <c r="K20" i="1"/>
  <c r="K32" i="1"/>
  <c r="P17" i="4"/>
  <c r="S17" i="4" s="1"/>
  <c r="M16" i="1"/>
  <c r="M14" i="1"/>
  <c r="P21" i="4"/>
  <c r="V21" i="4" s="1"/>
  <c r="B29" i="4"/>
  <c r="W14" i="4"/>
  <c r="O26" i="4"/>
  <c r="P26" i="4"/>
  <c r="O26" i="1"/>
  <c r="A52" i="1" s="1"/>
  <c r="L18" i="1"/>
  <c r="M25" i="1"/>
  <c r="L28" i="1"/>
  <c r="L15" i="1"/>
  <c r="K26" i="1"/>
  <c r="M18" i="1"/>
  <c r="K24" i="1"/>
  <c r="O28" i="1"/>
  <c r="K13" i="1"/>
  <c r="L17" i="1"/>
  <c r="O22" i="1"/>
  <c r="A48" i="1" s="1"/>
  <c r="O24" i="1"/>
  <c r="K28" i="1"/>
  <c r="K16" i="1"/>
  <c r="O32" i="1"/>
  <c r="A58" i="1" s="1"/>
  <c r="M29" i="1"/>
  <c r="M22" i="1"/>
  <c r="M17" i="1"/>
  <c r="K19" i="1"/>
  <c r="L13" i="1"/>
  <c r="M21" i="1"/>
  <c r="O25" i="1"/>
  <c r="A51" i="1" s="1"/>
  <c r="L23" i="1"/>
  <c r="K18" i="1"/>
  <c r="O27" i="1"/>
  <c r="W26" i="1" s="1"/>
  <c r="K17" i="1"/>
  <c r="L14" i="1"/>
  <c r="M15" i="1"/>
  <c r="M26" i="1"/>
  <c r="M31" i="1"/>
  <c r="K14" i="1"/>
  <c r="L32" i="1"/>
  <c r="L25" i="1"/>
  <c r="K30" i="1"/>
  <c r="L27" i="1"/>
  <c r="O17" i="1"/>
  <c r="O30" i="1"/>
  <c r="O19" i="1"/>
  <c r="A45" i="1" s="1"/>
  <c r="K23" i="1"/>
  <c r="K22" i="1"/>
  <c r="M13" i="1"/>
  <c r="O21" i="1"/>
  <c r="L30" i="1"/>
  <c r="L20" i="1"/>
  <c r="M24" i="1"/>
  <c r="O18" i="1"/>
  <c r="K21" i="1"/>
  <c r="K27" i="1"/>
  <c r="M19" i="1"/>
  <c r="K25" i="1"/>
  <c r="L29" i="1"/>
  <c r="M30" i="1"/>
  <c r="K31" i="1"/>
  <c r="O31" i="1"/>
  <c r="O20" i="1"/>
  <c r="M20" i="1"/>
  <c r="K15" i="1"/>
  <c r="L19" i="1"/>
  <c r="O23" i="1"/>
  <c r="M27" i="1"/>
  <c r="O16" i="1"/>
  <c r="L16" i="1"/>
  <c r="L22" i="1"/>
  <c r="M23" i="1"/>
  <c r="O14" i="1"/>
  <c r="O29" i="1"/>
  <c r="O13" i="1"/>
  <c r="A39" i="1" s="1"/>
  <c r="O15" i="1"/>
  <c r="L21" i="1"/>
  <c r="L24" i="1"/>
  <c r="K29" i="1"/>
  <c r="L26" i="1"/>
  <c r="L31" i="1"/>
  <c r="M32" i="1"/>
  <c r="S16" i="4"/>
  <c r="W15" i="3" l="1"/>
  <c r="W18" i="3"/>
  <c r="V15" i="4"/>
  <c r="C30" i="4"/>
  <c r="D30" i="4" s="1"/>
  <c r="E30" i="4" s="1"/>
  <c r="S15" i="4"/>
  <c r="W21" i="3"/>
  <c r="P15" i="3"/>
  <c r="P16" i="3"/>
  <c r="B31" i="3" s="1"/>
  <c r="C31" i="3" s="1"/>
  <c r="V13" i="4"/>
  <c r="P20" i="3"/>
  <c r="A31" i="3"/>
  <c r="W13" i="3"/>
  <c r="P14" i="3"/>
  <c r="B29" i="3" s="1"/>
  <c r="C29" i="3" s="1"/>
  <c r="D29" i="3" s="1"/>
  <c r="W22" i="3"/>
  <c r="P17" i="3"/>
  <c r="B32" i="3" s="1"/>
  <c r="C32" i="3" s="1"/>
  <c r="D32" i="3" s="1"/>
  <c r="W17" i="3"/>
  <c r="S14" i="4"/>
  <c r="P18" i="3"/>
  <c r="P13" i="3"/>
  <c r="P22" i="3"/>
  <c r="B37" i="3" s="1"/>
  <c r="C37" i="3" s="1"/>
  <c r="D37" i="3" s="1"/>
  <c r="P21" i="3"/>
  <c r="B36" i="3" s="1"/>
  <c r="C36" i="3" s="1"/>
  <c r="D36" i="3" s="1"/>
  <c r="W20" i="3"/>
  <c r="C31" i="4"/>
  <c r="D31" i="4" s="1"/>
  <c r="E31" i="4" s="1"/>
  <c r="P19" i="3"/>
  <c r="B34" i="3" s="1"/>
  <c r="C34" i="3" s="1"/>
  <c r="D34" i="3" s="1"/>
  <c r="W14" i="3"/>
  <c r="W19" i="3"/>
  <c r="N26" i="3"/>
  <c r="M26" i="3"/>
  <c r="C28" i="4"/>
  <c r="D28" i="4" s="1"/>
  <c r="E28" i="4" s="1"/>
  <c r="V22" i="4"/>
  <c r="P17" i="1"/>
  <c r="B43" i="1" s="1"/>
  <c r="C43" i="1" s="1"/>
  <c r="V18" i="4"/>
  <c r="V14" i="4"/>
  <c r="S18" i="4"/>
  <c r="Q15" i="4"/>
  <c r="R15" i="4" s="1"/>
  <c r="C32" i="4"/>
  <c r="D32" i="4" s="1"/>
  <c r="E32" i="4" s="1"/>
  <c r="S21" i="4"/>
  <c r="S22" i="4"/>
  <c r="C36" i="4"/>
  <c r="D36" i="4" s="1"/>
  <c r="E36" i="4" s="1"/>
  <c r="C34" i="4"/>
  <c r="D34" i="4" s="1"/>
  <c r="E34" i="4" s="1"/>
  <c r="S19" i="4"/>
  <c r="V17" i="4"/>
  <c r="S20" i="4"/>
  <c r="V20" i="4"/>
  <c r="W21" i="1"/>
  <c r="P19" i="1"/>
  <c r="E29" i="4"/>
  <c r="Q14" i="4"/>
  <c r="R14" i="4" s="1"/>
  <c r="Q20" i="4"/>
  <c r="R20" i="4" s="1"/>
  <c r="Q21" i="4"/>
  <c r="R21" i="4" s="1"/>
  <c r="Q18" i="4"/>
  <c r="R18" i="4" s="1"/>
  <c r="Q26" i="4"/>
  <c r="E43" i="4" s="1"/>
  <c r="R26" i="4"/>
  <c r="Q13" i="4"/>
  <c r="R13" i="4" s="1"/>
  <c r="Q17" i="4"/>
  <c r="R17" i="4" s="1"/>
  <c r="Q19" i="4"/>
  <c r="R19" i="4" s="1"/>
  <c r="Q22" i="4"/>
  <c r="R22" i="4" s="1"/>
  <c r="Q16" i="4"/>
  <c r="R16" i="4" s="1"/>
  <c r="P22" i="1"/>
  <c r="B48" i="1" s="1"/>
  <c r="C48" i="1" s="1"/>
  <c r="D48" i="1" s="1"/>
  <c r="P14" i="1"/>
  <c r="B40" i="1" s="1"/>
  <c r="C40" i="1" s="1"/>
  <c r="A53" i="1"/>
  <c r="W25" i="1"/>
  <c r="P18" i="1"/>
  <c r="B44" i="1" s="1"/>
  <c r="C44" i="1" s="1"/>
  <c r="P30" i="1"/>
  <c r="B56" i="1" s="1"/>
  <c r="C56" i="1" s="1"/>
  <c r="P20" i="1"/>
  <c r="P28" i="1"/>
  <c r="B54" i="1" s="1"/>
  <c r="C54" i="1" s="1"/>
  <c r="W24" i="1"/>
  <c r="P31" i="1"/>
  <c r="P26" i="1"/>
  <c r="P23" i="1"/>
  <c r="B49" i="1" s="1"/>
  <c r="C49" i="1" s="1"/>
  <c r="W31" i="1"/>
  <c r="P21" i="1"/>
  <c r="B47" i="1" s="1"/>
  <c r="C47" i="1" s="1"/>
  <c r="P13" i="1"/>
  <c r="P24" i="1"/>
  <c r="B50" i="1" s="1"/>
  <c r="C50" i="1" s="1"/>
  <c r="A57" i="1"/>
  <c r="W30" i="1"/>
  <c r="A44" i="1"/>
  <c r="W17" i="1"/>
  <c r="P16" i="1"/>
  <c r="B42" i="1" s="1"/>
  <c r="C42" i="1" s="1"/>
  <c r="W18" i="1"/>
  <c r="A50" i="1"/>
  <c r="W23" i="1"/>
  <c r="A56" i="1"/>
  <c r="W29" i="1"/>
  <c r="P32" i="1"/>
  <c r="B58" i="1" s="1"/>
  <c r="C58" i="1" s="1"/>
  <c r="D58" i="1" s="1"/>
  <c r="W20" i="1"/>
  <c r="A47" i="1"/>
  <c r="A43" i="1"/>
  <c r="W16" i="1"/>
  <c r="P27" i="1"/>
  <c r="P15" i="1"/>
  <c r="B41" i="1" s="1"/>
  <c r="C41" i="1" s="1"/>
  <c r="P25" i="1"/>
  <c r="P29" i="1"/>
  <c r="B55" i="1" s="1"/>
  <c r="C55" i="1" s="1"/>
  <c r="A46" i="1"/>
  <c r="W19" i="1"/>
  <c r="A54" i="1"/>
  <c r="W27" i="1"/>
  <c r="W22" i="1"/>
  <c r="A49" i="1"/>
  <c r="W14" i="1"/>
  <c r="A41" i="1"/>
  <c r="A55" i="1"/>
  <c r="W28" i="1"/>
  <c r="N37" i="1"/>
  <c r="A40" i="1"/>
  <c r="W13" i="1"/>
  <c r="O37" i="1"/>
  <c r="W15" i="1"/>
  <c r="A42" i="1"/>
  <c r="B35" i="3"/>
  <c r="C35" i="3" s="1"/>
  <c r="D35" i="3" s="1"/>
  <c r="B30" i="3"/>
  <c r="C30" i="3" s="1"/>
  <c r="D30" i="3" s="1"/>
  <c r="R13" i="3" l="1"/>
  <c r="R42" i="3" s="1"/>
  <c r="B28" i="3"/>
  <c r="C28" i="3" s="1"/>
  <c r="D28" i="3" s="1"/>
  <c r="V18" i="3"/>
  <c r="B33" i="3"/>
  <c r="C33" i="3" s="1"/>
  <c r="D33" i="3" s="1"/>
  <c r="V14" i="3"/>
  <c r="S15" i="3"/>
  <c r="T15" i="3" s="1"/>
  <c r="S17" i="3"/>
  <c r="T17" i="3" s="1"/>
  <c r="R20" i="3"/>
  <c r="R49" i="3" s="1"/>
  <c r="D31" i="3"/>
  <c r="P26" i="3"/>
  <c r="O26" i="3"/>
  <c r="D41" i="3" s="1"/>
  <c r="V21" i="3"/>
  <c r="R22" i="3"/>
  <c r="R51" i="3" s="1"/>
  <c r="S19" i="3"/>
  <c r="T19" i="3" s="1"/>
  <c r="X10" i="4" a="1"/>
  <c r="X10" i="4" s="1"/>
  <c r="B45" i="1"/>
  <c r="C45" i="1" s="1"/>
  <c r="D45" i="1" s="1"/>
  <c r="D38" i="4"/>
  <c r="C43" i="4" s="1"/>
  <c r="G43" i="4" s="1"/>
  <c r="B24" i="2" s="1"/>
  <c r="B29" i="2" s="1"/>
  <c r="C29" i="2" s="1"/>
  <c r="B39" i="1"/>
  <c r="C39" i="1" s="1"/>
  <c r="D39" i="1" s="1"/>
  <c r="E38" i="4"/>
  <c r="D40" i="1"/>
  <c r="B46" i="1"/>
  <c r="C46" i="1" s="1"/>
  <c r="D46" i="1" s="1"/>
  <c r="D56" i="1"/>
  <c r="B57" i="1"/>
  <c r="C57" i="1" s="1"/>
  <c r="D57" i="1" s="1"/>
  <c r="D41" i="1"/>
  <c r="V24" i="1"/>
  <c r="D47" i="1"/>
  <c r="B52" i="1"/>
  <c r="C52" i="1" s="1"/>
  <c r="D52" i="1" s="1"/>
  <c r="D43" i="1"/>
  <c r="V17" i="1"/>
  <c r="D44" i="1"/>
  <c r="V23" i="1"/>
  <c r="D50" i="1"/>
  <c r="V13" i="1"/>
  <c r="B51" i="1"/>
  <c r="C51" i="1" s="1"/>
  <c r="D51" i="1" s="1"/>
  <c r="D55" i="1"/>
  <c r="B53" i="1"/>
  <c r="C53" i="1" s="1"/>
  <c r="D53" i="1" s="1"/>
  <c r="D54" i="1"/>
  <c r="D49" i="1"/>
  <c r="D42" i="1"/>
  <c r="P37" i="1"/>
  <c r="E63" i="1" s="1"/>
  <c r="Q37" i="1"/>
  <c r="V31" i="1"/>
  <c r="R32" i="1"/>
  <c r="V13" i="3"/>
  <c r="S13" i="3"/>
  <c r="T13" i="3" s="1"/>
  <c r="R17" i="3"/>
  <c r="R46" i="3" s="1"/>
  <c r="V16" i="3"/>
  <c r="R16" i="3"/>
  <c r="R45" i="3" s="1"/>
  <c r="S16" i="3"/>
  <c r="T16" i="3" s="1"/>
  <c r="R19" i="3" l="1"/>
  <c r="R48" i="3" s="1"/>
  <c r="R15" i="3"/>
  <c r="R44" i="3" s="1"/>
  <c r="V15" i="3"/>
  <c r="V19" i="3"/>
  <c r="V20" i="3"/>
  <c r="S21" i="3"/>
  <c r="T21" i="3" s="1"/>
  <c r="R21" i="3"/>
  <c r="R50" i="3" s="1"/>
  <c r="C38" i="3"/>
  <c r="B41" i="3" s="1"/>
  <c r="F41" i="3" s="1"/>
  <c r="B23" i="2" s="1"/>
  <c r="B28" i="2" s="1"/>
  <c r="C28" i="2" s="1"/>
  <c r="D38" i="3"/>
  <c r="S20" i="3"/>
  <c r="T20" i="3" s="1"/>
  <c r="V17" i="3"/>
  <c r="S18" i="3"/>
  <c r="T18" i="3" s="1"/>
  <c r="R18" i="3"/>
  <c r="R47" i="3" s="1"/>
  <c r="S14" i="3"/>
  <c r="T14" i="3" s="1"/>
  <c r="R14" i="3"/>
  <c r="R43" i="3" s="1"/>
  <c r="S22" i="3"/>
  <c r="T22" i="3" s="1"/>
  <c r="V22" i="3"/>
  <c r="AF12" i="4"/>
  <c r="X11" i="4"/>
  <c r="AE12" i="4"/>
  <c r="AD11" i="4"/>
  <c r="AE10" i="4"/>
  <c r="Y10" i="4"/>
  <c r="AB10" i="4"/>
  <c r="AG12" i="4"/>
  <c r="Z10" i="4"/>
  <c r="X12" i="4"/>
  <c r="X21" i="4" s="1"/>
  <c r="Y12" i="4"/>
  <c r="AA12" i="4"/>
  <c r="AA20" i="4" s="1"/>
  <c r="Z11" i="4"/>
  <c r="AD10" i="4"/>
  <c r="AE11" i="4"/>
  <c r="AC12" i="4"/>
  <c r="AA11" i="4"/>
  <c r="Y11" i="4"/>
  <c r="AC11" i="4"/>
  <c r="AD12" i="4"/>
  <c r="AD18" i="4" s="1"/>
  <c r="AC10" i="4"/>
  <c r="AF11" i="4"/>
  <c r="AG11" i="4"/>
  <c r="AA10" i="4"/>
  <c r="AB11" i="4"/>
  <c r="AG10" i="4"/>
  <c r="AB12" i="4"/>
  <c r="AB16" i="4" s="1"/>
  <c r="AF10" i="4"/>
  <c r="Z12" i="4"/>
  <c r="Z18" i="4" s="1"/>
  <c r="B43" i="4"/>
  <c r="F43" i="4" s="1"/>
  <c r="R23" i="1"/>
  <c r="R53" i="1" s="1"/>
  <c r="R24" i="1"/>
  <c r="R54" i="1" s="1"/>
  <c r="R17" i="1"/>
  <c r="R47" i="1" s="1"/>
  <c r="R13" i="1"/>
  <c r="R43" i="1" s="1"/>
  <c r="R31" i="1"/>
  <c r="R61" i="1" s="1"/>
  <c r="D59" i="1"/>
  <c r="C59" i="1"/>
  <c r="C63" i="1" s="1"/>
  <c r="G63" i="1" s="1"/>
  <c r="B22" i="2" s="1"/>
  <c r="B27" i="2" s="1"/>
  <c r="V14" i="1"/>
  <c r="R14" i="1"/>
  <c r="R44" i="1" s="1"/>
  <c r="V27" i="1"/>
  <c r="R27" i="1"/>
  <c r="R57" i="1" s="1"/>
  <c r="V15" i="1"/>
  <c r="R15" i="1"/>
  <c r="R45" i="1" s="1"/>
  <c r="V16" i="1"/>
  <c r="R16" i="1"/>
  <c r="R46" i="1" s="1"/>
  <c r="V21" i="1"/>
  <c r="R21" i="1"/>
  <c r="R51" i="1" s="1"/>
  <c r="V22" i="1"/>
  <c r="R22" i="1"/>
  <c r="R52" i="1" s="1"/>
  <c r="V20" i="1"/>
  <c r="R20" i="1"/>
  <c r="R50" i="1" s="1"/>
  <c r="V18" i="1"/>
  <c r="R18" i="1"/>
  <c r="R48" i="1" s="1"/>
  <c r="V19" i="1"/>
  <c r="R19" i="1"/>
  <c r="R49" i="1" s="1"/>
  <c r="V28" i="1"/>
  <c r="R28" i="1"/>
  <c r="R58" i="1" s="1"/>
  <c r="V29" i="1"/>
  <c r="R29" i="1"/>
  <c r="R59" i="1" s="1"/>
  <c r="V26" i="1"/>
  <c r="R26" i="1"/>
  <c r="R56" i="1" s="1"/>
  <c r="AF17" i="4"/>
  <c r="V25" i="1"/>
  <c r="R25" i="1"/>
  <c r="R55" i="1" s="1"/>
  <c r="V30" i="1"/>
  <c r="R30" i="1"/>
  <c r="R60" i="1" s="1"/>
  <c r="AA16" i="4"/>
  <c r="AD22" i="4"/>
  <c r="AA14" i="4"/>
  <c r="AA13" i="4"/>
  <c r="AD16" i="4"/>
  <c r="AD17" i="4"/>
  <c r="S10" i="3" l="1"/>
  <c r="T10" i="3" s="1"/>
  <c r="A41" i="3"/>
  <c r="E41" i="3" s="1"/>
  <c r="AD14" i="4"/>
  <c r="AA18" i="4"/>
  <c r="X10" i="3" a="1"/>
  <c r="AF10" i="3" s="1"/>
  <c r="AD19" i="4"/>
  <c r="AD13" i="4"/>
  <c r="AD15" i="4"/>
  <c r="AA19" i="4"/>
  <c r="AD20" i="4"/>
  <c r="AA15" i="4"/>
  <c r="AD21" i="4"/>
  <c r="AA21" i="4"/>
  <c r="AA17" i="4"/>
  <c r="AB18" i="4"/>
  <c r="AE14" i="4"/>
  <c r="AE19" i="4"/>
  <c r="AE20" i="4"/>
  <c r="AB19" i="4"/>
  <c r="AB20" i="4"/>
  <c r="AE21" i="4"/>
  <c r="AE15" i="4"/>
  <c r="AE17" i="4"/>
  <c r="AE13" i="4"/>
  <c r="X22" i="4"/>
  <c r="X16" i="4"/>
  <c r="AE16" i="4"/>
  <c r="AB17" i="4"/>
  <c r="Y22" i="4"/>
  <c r="AC18" i="4"/>
  <c r="AG22" i="4"/>
  <c r="AF16" i="4"/>
  <c r="AF20" i="4"/>
  <c r="H43" i="4"/>
  <c r="AG17" i="4"/>
  <c r="AF18" i="4"/>
  <c r="AC22" i="4"/>
  <c r="Z22" i="4"/>
  <c r="AC17" i="4"/>
  <c r="AC15" i="4"/>
  <c r="AE18" i="4"/>
  <c r="AC21" i="4"/>
  <c r="AC14" i="4"/>
  <c r="Z17" i="4"/>
  <c r="AC13" i="4"/>
  <c r="AG14" i="4"/>
  <c r="AG15" i="4"/>
  <c r="AB13" i="4"/>
  <c r="Y13" i="4"/>
  <c r="AG21" i="4"/>
  <c r="AG20" i="4"/>
  <c r="X17" i="4"/>
  <c r="X20" i="4"/>
  <c r="X18" i="4"/>
  <c r="AF22" i="4"/>
  <c r="X14" i="4"/>
  <c r="AB14" i="4"/>
  <c r="AC19" i="4"/>
  <c r="AC16" i="4"/>
  <c r="AG13" i="4"/>
  <c r="AC20" i="4"/>
  <c r="AG18" i="4"/>
  <c r="AG19" i="4"/>
  <c r="X15" i="4"/>
  <c r="AG16" i="4"/>
  <c r="AF21" i="4"/>
  <c r="AF13" i="4"/>
  <c r="AF14" i="4"/>
  <c r="X13" i="4"/>
  <c r="X19" i="4"/>
  <c r="Y19" i="4"/>
  <c r="AF15" i="4"/>
  <c r="AE22" i="4"/>
  <c r="AA22" i="4"/>
  <c r="AF19" i="4"/>
  <c r="Y17" i="4"/>
  <c r="AB22" i="4"/>
  <c r="AB21" i="4"/>
  <c r="Y15" i="4"/>
  <c r="Y14" i="4"/>
  <c r="Y20" i="4"/>
  <c r="Y18" i="4"/>
  <c r="Y16" i="4"/>
  <c r="Y21" i="4"/>
  <c r="Z20" i="4"/>
  <c r="Z16" i="4"/>
  <c r="Z15" i="4"/>
  <c r="Z14" i="4"/>
  <c r="Z21" i="4"/>
  <c r="Z19" i="4"/>
  <c r="B46" i="4"/>
  <c r="AB15" i="4"/>
  <c r="Z13" i="4"/>
  <c r="C24" i="2"/>
  <c r="A29" i="2" s="1"/>
  <c r="D29" i="2" s="1"/>
  <c r="D43" i="4"/>
  <c r="B63" i="1"/>
  <c r="C22" i="2" s="1"/>
  <c r="A27" i="2" s="1"/>
  <c r="X10" i="1" a="1"/>
  <c r="AP10" i="1" s="1"/>
  <c r="C41" i="3"/>
  <c r="C27" i="2"/>
  <c r="C30" i="2" s="1"/>
  <c r="I28" i="2" s="1"/>
  <c r="A44" i="3"/>
  <c r="C23" i="2"/>
  <c r="G41" i="3"/>
  <c r="AA10" i="3" l="1"/>
  <c r="X12" i="3"/>
  <c r="AG12" i="3"/>
  <c r="AB12" i="3"/>
  <c r="X10" i="3"/>
  <c r="AD12" i="3"/>
  <c r="Z10" i="3"/>
  <c r="X11" i="3"/>
  <c r="X18" i="3" s="1"/>
  <c r="AB10" i="3"/>
  <c r="AF12" i="3"/>
  <c r="AE12" i="3"/>
  <c r="AA11" i="3"/>
  <c r="AE11" i="3"/>
  <c r="AE17" i="3" s="1"/>
  <c r="Z12" i="3"/>
  <c r="AC10" i="3"/>
  <c r="AD11" i="3"/>
  <c r="AD10" i="3"/>
  <c r="Y10" i="3"/>
  <c r="AC12" i="3"/>
  <c r="AG11" i="3"/>
  <c r="AG22" i="3" s="1"/>
  <c r="Z11" i="3"/>
  <c r="Y12" i="3"/>
  <c r="AA12" i="3"/>
  <c r="AA21" i="3" s="1"/>
  <c r="AG10" i="3"/>
  <c r="AF11" i="3"/>
  <c r="AB11" i="3"/>
  <c r="AB21" i="3" s="1"/>
  <c r="AE10" i="3"/>
  <c r="Y11" i="3"/>
  <c r="AC11" i="3"/>
  <c r="AC18" i="3" s="1"/>
  <c r="B66" i="1"/>
  <c r="H63" i="1"/>
  <c r="D63" i="1"/>
  <c r="F63" i="1"/>
  <c r="AA10" i="1"/>
  <c r="AM10" i="1"/>
  <c r="AD10" i="1"/>
  <c r="AJ10" i="1"/>
  <c r="AB10" i="1"/>
  <c r="AK10" i="1"/>
  <c r="AE10" i="1"/>
  <c r="AB11" i="1"/>
  <c r="AL10" i="1"/>
  <c r="AA11" i="1"/>
  <c r="Z10" i="1"/>
  <c r="Y10" i="1"/>
  <c r="AH10" i="1"/>
  <c r="AG10" i="1"/>
  <c r="X11" i="1"/>
  <c r="AI10" i="1"/>
  <c r="AA12" i="1"/>
  <c r="AN12" i="1"/>
  <c r="AJ11" i="1"/>
  <c r="AK11" i="1"/>
  <c r="AP12" i="1"/>
  <c r="AD12" i="1"/>
  <c r="AH12" i="1"/>
  <c r="AM12" i="1"/>
  <c r="AI11" i="1"/>
  <c r="AE11" i="1"/>
  <c r="AJ12" i="1"/>
  <c r="AJ16" i="1" s="1"/>
  <c r="X12" i="1"/>
  <c r="AL12" i="1"/>
  <c r="AO12" i="1"/>
  <c r="Y12" i="1"/>
  <c r="AL11" i="1"/>
  <c r="AG11" i="1"/>
  <c r="AI12" i="1"/>
  <c r="AE12" i="1"/>
  <c r="AH11" i="1"/>
  <c r="AC11" i="1"/>
  <c r="AN11" i="1"/>
  <c r="AF10" i="1"/>
  <c r="AB12" i="1"/>
  <c r="AB18" i="1" s="1"/>
  <c r="Z12" i="1"/>
  <c r="AK12" i="1"/>
  <c r="AF11" i="1"/>
  <c r="Y11" i="1"/>
  <c r="AO10" i="1"/>
  <c r="AN10" i="1"/>
  <c r="AF12" i="1"/>
  <c r="AP11" i="1"/>
  <c r="AG12" i="1"/>
  <c r="AG30" i="1" s="1"/>
  <c r="AC12" i="1"/>
  <c r="AD11" i="1"/>
  <c r="AM11" i="1"/>
  <c r="Z11" i="1"/>
  <c r="AC10" i="1"/>
  <c r="X10" i="1"/>
  <c r="AO11" i="1"/>
  <c r="AB14" i="3"/>
  <c r="AB16" i="3"/>
  <c r="AG15" i="3"/>
  <c r="AG18" i="3"/>
  <c r="AG16" i="3"/>
  <c r="AG13" i="3"/>
  <c r="AG17" i="3"/>
  <c r="AG14" i="3"/>
  <c r="AF19" i="3"/>
  <c r="AE18" i="3"/>
  <c r="AE15" i="3"/>
  <c r="AC20" i="3"/>
  <c r="AA15" i="3"/>
  <c r="Z14" i="3"/>
  <c r="D27" i="2"/>
  <c r="D19" i="2" a="1"/>
  <c r="F20" i="2" s="1"/>
  <c r="A28" i="2"/>
  <c r="D28" i="2" s="1"/>
  <c r="AB17" i="3" l="1"/>
  <c r="AF22" i="3"/>
  <c r="AF14" i="3"/>
  <c r="AF17" i="3"/>
  <c r="Y14" i="3"/>
  <c r="AC17" i="3"/>
  <c r="AC13" i="3"/>
  <c r="AB20" i="3"/>
  <c r="AC14" i="3"/>
  <c r="AG21" i="3"/>
  <c r="AE13" i="3"/>
  <c r="AF16" i="3"/>
  <c r="X20" i="3"/>
  <c r="Z16" i="3"/>
  <c r="Y18" i="3"/>
  <c r="Y21" i="3"/>
  <c r="Y19" i="3"/>
  <c r="AB22" i="3"/>
  <c r="AF13" i="3"/>
  <c r="X16" i="3"/>
  <c r="X19" i="3"/>
  <c r="Z20" i="3"/>
  <c r="X15" i="3"/>
  <c r="X17" i="3"/>
  <c r="X13" i="3"/>
  <c r="X22" i="3"/>
  <c r="AC16" i="3"/>
  <c r="X14" i="3"/>
  <c r="Z18" i="3"/>
  <c r="Y15" i="3"/>
  <c r="AE19" i="3"/>
  <c r="AF15" i="3"/>
  <c r="AG20" i="3"/>
  <c r="X21" i="3"/>
  <c r="AB13" i="3"/>
  <c r="AB18" i="3"/>
  <c r="AF18" i="3"/>
  <c r="AB19" i="3"/>
  <c r="AF20" i="3"/>
  <c r="AB15" i="3"/>
  <c r="AD22" i="3"/>
  <c r="Y22" i="3"/>
  <c r="AC21" i="3"/>
  <c r="AF21" i="3"/>
  <c r="AG19" i="3"/>
  <c r="AA14" i="3"/>
  <c r="Y17" i="3"/>
  <c r="AE20" i="3"/>
  <c r="AD18" i="3"/>
  <c r="AA17" i="3"/>
  <c r="AA20" i="3"/>
  <c r="Z19" i="3"/>
  <c r="AE22" i="3"/>
  <c r="Z21" i="3"/>
  <c r="Z15" i="3"/>
  <c r="AA22" i="3"/>
  <c r="Y20" i="3"/>
  <c r="AC15" i="3"/>
  <c r="AE14" i="3"/>
  <c r="AE16" i="3"/>
  <c r="Z22" i="3"/>
  <c r="Y13" i="3"/>
  <c r="AC19" i="3"/>
  <c r="Z13" i="3"/>
  <c r="AA13" i="3"/>
  <c r="AA18" i="3"/>
  <c r="Y16" i="3"/>
  <c r="AC22" i="3"/>
  <c r="AE21" i="3"/>
  <c r="Z17" i="3"/>
  <c r="AA16" i="3"/>
  <c r="AA19" i="3"/>
  <c r="AD14" i="3"/>
  <c r="AD21" i="3"/>
  <c r="AD20" i="3"/>
  <c r="AD17" i="3"/>
  <c r="AD16" i="3"/>
  <c r="AD13" i="3"/>
  <c r="AD19" i="3"/>
  <c r="AD15" i="3"/>
  <c r="Z22" i="1"/>
  <c r="AC30" i="1"/>
  <c r="Z18" i="1"/>
  <c r="AK25" i="1"/>
  <c r="AA22" i="1"/>
  <c r="AN15" i="1"/>
  <c r="AJ22" i="1"/>
  <c r="AJ23" i="1"/>
  <c r="AD21" i="1"/>
  <c r="Z19" i="1"/>
  <c r="AA13" i="1"/>
  <c r="AD29" i="1"/>
  <c r="AK31" i="1"/>
  <c r="AI31" i="1"/>
  <c r="AA15" i="1"/>
  <c r="Y19" i="1"/>
  <c r="AH13" i="1"/>
  <c r="X16" i="1"/>
  <c r="AD23" i="1"/>
  <c r="AG28" i="1"/>
  <c r="AG25" i="1"/>
  <c r="AG14" i="1"/>
  <c r="AG22" i="1"/>
  <c r="AI26" i="1"/>
  <c r="AN18" i="1"/>
  <c r="AK15" i="1"/>
  <c r="Z24" i="1"/>
  <c r="AK13" i="1"/>
  <c r="AE18" i="1"/>
  <c r="AN17" i="1"/>
  <c r="AJ28" i="1"/>
  <c r="AJ14" i="1"/>
  <c r="AJ15" i="1"/>
  <c r="AE30" i="1"/>
  <c r="AG31" i="1"/>
  <c r="AN16" i="1"/>
  <c r="AJ20" i="1"/>
  <c r="AJ26" i="1"/>
  <c r="AJ18" i="1"/>
  <c r="AF14" i="1"/>
  <c r="AK30" i="1"/>
  <c r="AD19" i="1"/>
  <c r="AN22" i="1"/>
  <c r="AD25" i="1"/>
  <c r="AK22" i="1"/>
  <c r="AD31" i="1"/>
  <c r="AI27" i="1"/>
  <c r="AN14" i="1"/>
  <c r="AJ17" i="1"/>
  <c r="AJ13" i="1"/>
  <c r="AJ24" i="1"/>
  <c r="AJ27" i="1"/>
  <c r="AJ21" i="1"/>
  <c r="AK18" i="1"/>
  <c r="AD15" i="1"/>
  <c r="AI29" i="1"/>
  <c r="AJ30" i="1"/>
  <c r="AJ31" i="1"/>
  <c r="AD13" i="1"/>
  <c r="AN28" i="1"/>
  <c r="AJ19" i="1"/>
  <c r="AJ29" i="1"/>
  <c r="AE15" i="1"/>
  <c r="AC26" i="1"/>
  <c r="AK24" i="1"/>
  <c r="AK23" i="1"/>
  <c r="AD30" i="1"/>
  <c r="AD16" i="1"/>
  <c r="AD17" i="1"/>
  <c r="AI20" i="1"/>
  <c r="AN29" i="1"/>
  <c r="AN30" i="1"/>
  <c r="AA17" i="1"/>
  <c r="AO14" i="1"/>
  <c r="AK16" i="1"/>
  <c r="AK14" i="1"/>
  <c r="AK26" i="1"/>
  <c r="AD14" i="1"/>
  <c r="AD28" i="1"/>
  <c r="AN20" i="1"/>
  <c r="AN21" i="1"/>
  <c r="AN25" i="1"/>
  <c r="AE26" i="1"/>
  <c r="AC18" i="1"/>
  <c r="AK29" i="1"/>
  <c r="AK27" i="1"/>
  <c r="AK28" i="1"/>
  <c r="AD22" i="1"/>
  <c r="AD20" i="1"/>
  <c r="AN23" i="1"/>
  <c r="AN13" i="1"/>
  <c r="AN27" i="1"/>
  <c r="AK21" i="1"/>
  <c r="AK19" i="1"/>
  <c r="AK20" i="1"/>
  <c r="AD27" i="1"/>
  <c r="AD18" i="1"/>
  <c r="AN31" i="1"/>
  <c r="AN26" i="1"/>
  <c r="AN19" i="1"/>
  <c r="AE24" i="1"/>
  <c r="AE17" i="1"/>
  <c r="AK17" i="1"/>
  <c r="AD26" i="1"/>
  <c r="AD24" i="1"/>
  <c r="AN24" i="1"/>
  <c r="AI16" i="1"/>
  <c r="AA18" i="1"/>
  <c r="AC17" i="1"/>
  <c r="Z23" i="1"/>
  <c r="AG13" i="1"/>
  <c r="AG27" i="1"/>
  <c r="AI19" i="1"/>
  <c r="AI25" i="1"/>
  <c r="AI18" i="1"/>
  <c r="AA27" i="1"/>
  <c r="AA16" i="1"/>
  <c r="AP17" i="1"/>
  <c r="AL14" i="1"/>
  <c r="AC27" i="1"/>
  <c r="Z28" i="1"/>
  <c r="AG26" i="1"/>
  <c r="AG19" i="1"/>
  <c r="AI14" i="1"/>
  <c r="AI17" i="1"/>
  <c r="AA14" i="1"/>
  <c r="AA29" i="1"/>
  <c r="AC19" i="1"/>
  <c r="Z16" i="1"/>
  <c r="AG18" i="1"/>
  <c r="AG17" i="1"/>
  <c r="AI23" i="1"/>
  <c r="AI24" i="1"/>
  <c r="AA23" i="1"/>
  <c r="AA21" i="1"/>
  <c r="AE19" i="1"/>
  <c r="AC28" i="1"/>
  <c r="Z21" i="1"/>
  <c r="AG29" i="1"/>
  <c r="AG23" i="1"/>
  <c r="AG24" i="1"/>
  <c r="AI22" i="1"/>
  <c r="AI21" i="1"/>
  <c r="AA31" i="1"/>
  <c r="AA28" i="1"/>
  <c r="AA24" i="1"/>
  <c r="AE21" i="1"/>
  <c r="AC20" i="1"/>
  <c r="AG20" i="1"/>
  <c r="AG15" i="1"/>
  <c r="AG16" i="1"/>
  <c r="AI15" i="1"/>
  <c r="AI13" i="1"/>
  <c r="AA30" i="1"/>
  <c r="AA20" i="1"/>
  <c r="AA26" i="1"/>
  <c r="AC16" i="1"/>
  <c r="AG21" i="1"/>
  <c r="AI30" i="1"/>
  <c r="AI28" i="1"/>
  <c r="AA19" i="1"/>
  <c r="AA25" i="1"/>
  <c r="AE25" i="1"/>
  <c r="Y25" i="1"/>
  <c r="AE27" i="1"/>
  <c r="AE20" i="1"/>
  <c r="AF13" i="1"/>
  <c r="AE23" i="1"/>
  <c r="AE28" i="1"/>
  <c r="AE16" i="1"/>
  <c r="AE22" i="1"/>
  <c r="AE29" i="1"/>
  <c r="AE14" i="1"/>
  <c r="AF16" i="1"/>
  <c r="AH19" i="1"/>
  <c r="AM14" i="1"/>
  <c r="AF27" i="1"/>
  <c r="Y23" i="1"/>
  <c r="Y24" i="1"/>
  <c r="X18" i="1"/>
  <c r="AH31" i="1"/>
  <c r="AJ25" i="1"/>
  <c r="AE31" i="1"/>
  <c r="AE13" i="1"/>
  <c r="X20" i="1"/>
  <c r="AM18" i="1"/>
  <c r="AO25" i="1"/>
  <c r="AL17" i="1"/>
  <c r="AP16" i="1"/>
  <c r="AM28" i="1"/>
  <c r="AO23" i="1"/>
  <c r="AO24" i="1"/>
  <c r="X31" i="1"/>
  <c r="AB30" i="1"/>
  <c r="AP30" i="1"/>
  <c r="X29" i="1"/>
  <c r="AB29" i="1"/>
  <c r="AP14" i="1"/>
  <c r="AP23" i="1"/>
  <c r="AP19" i="1"/>
  <c r="AL29" i="1"/>
  <c r="AL20" i="1"/>
  <c r="AL16" i="1"/>
  <c r="AM26" i="1"/>
  <c r="AM25" i="1"/>
  <c r="AB24" i="1"/>
  <c r="AB22" i="1"/>
  <c r="AB31" i="1"/>
  <c r="AO13" i="1"/>
  <c r="AO15" i="1"/>
  <c r="AO16" i="1"/>
  <c r="AC21" i="1"/>
  <c r="AC13" i="1"/>
  <c r="Z25" i="1"/>
  <c r="Z15" i="1"/>
  <c r="Z29" i="1"/>
  <c r="AM19" i="1"/>
  <c r="AM17" i="1"/>
  <c r="AB27" i="1"/>
  <c r="AB14" i="1"/>
  <c r="AB23" i="1"/>
  <c r="AO29" i="1"/>
  <c r="AO17" i="1"/>
  <c r="AP22" i="1"/>
  <c r="AP15" i="1"/>
  <c r="AP29" i="1"/>
  <c r="AL21" i="1"/>
  <c r="AL31" i="1"/>
  <c r="AM24" i="1"/>
  <c r="AM15" i="1"/>
  <c r="AB28" i="1"/>
  <c r="AB15" i="1"/>
  <c r="AP28" i="1"/>
  <c r="AC29" i="1"/>
  <c r="AC31" i="1"/>
  <c r="Z26" i="1"/>
  <c r="Z20" i="1"/>
  <c r="Z13" i="1"/>
  <c r="AM16" i="1"/>
  <c r="AM20" i="1"/>
  <c r="AB19" i="1"/>
  <c r="AB21" i="1"/>
  <c r="AO20" i="1"/>
  <c r="AO27" i="1"/>
  <c r="AP31" i="1"/>
  <c r="AP20" i="1"/>
  <c r="AP13" i="1"/>
  <c r="AL13" i="1"/>
  <c r="AL25" i="1"/>
  <c r="X17" i="1"/>
  <c r="X19" i="1"/>
  <c r="AP21" i="1"/>
  <c r="AC24" i="1"/>
  <c r="AC23" i="1"/>
  <c r="Z30" i="1"/>
  <c r="Z14" i="1"/>
  <c r="AM23" i="1"/>
  <c r="AM29" i="1"/>
  <c r="AM30" i="1"/>
  <c r="AB20" i="1"/>
  <c r="AB13" i="1"/>
  <c r="AO26" i="1"/>
  <c r="AO19" i="1"/>
  <c r="AP25" i="1"/>
  <c r="AP27" i="1"/>
  <c r="AL27" i="1"/>
  <c r="X30" i="1"/>
  <c r="AO22" i="1"/>
  <c r="AL28" i="1"/>
  <c r="AC22" i="1"/>
  <c r="AC15" i="1"/>
  <c r="Z17" i="1"/>
  <c r="Z27" i="1"/>
  <c r="AM31" i="1"/>
  <c r="AM21" i="1"/>
  <c r="AM22" i="1"/>
  <c r="AB25" i="1"/>
  <c r="AB26" i="1"/>
  <c r="AO18" i="1"/>
  <c r="AO30" i="1"/>
  <c r="AP18" i="1"/>
  <c r="AP24" i="1"/>
  <c r="AL19" i="1"/>
  <c r="X22" i="1"/>
  <c r="AB16" i="1"/>
  <c r="AO28" i="1"/>
  <c r="AL15" i="1"/>
  <c r="AC25" i="1"/>
  <c r="AC14" i="1"/>
  <c r="Z31" i="1"/>
  <c r="AM27" i="1"/>
  <c r="AM13" i="1"/>
  <c r="AB17" i="1"/>
  <c r="AO21" i="1"/>
  <c r="AO31" i="1"/>
  <c r="AP26" i="1"/>
  <c r="AL24" i="1"/>
  <c r="X28" i="1"/>
  <c r="X14" i="1"/>
  <c r="AF31" i="1"/>
  <c r="AF21" i="1"/>
  <c r="AF17" i="1"/>
  <c r="AH17" i="1"/>
  <c r="AH14" i="1"/>
  <c r="Y13" i="1"/>
  <c r="Y31" i="1"/>
  <c r="Y30" i="1"/>
  <c r="AF28" i="1"/>
  <c r="AF26" i="1"/>
  <c r="AF19" i="1"/>
  <c r="AH26" i="1"/>
  <c r="AH24" i="1"/>
  <c r="Y28" i="1"/>
  <c r="Y15" i="1"/>
  <c r="Y16" i="1"/>
  <c r="AF23" i="1"/>
  <c r="AF18" i="1"/>
  <c r="AH18" i="1"/>
  <c r="AH16" i="1"/>
  <c r="Y21" i="1"/>
  <c r="Y17" i="1"/>
  <c r="AF24" i="1"/>
  <c r="AF25" i="1"/>
  <c r="AH23" i="1"/>
  <c r="AH27" i="1"/>
  <c r="Y29" i="1"/>
  <c r="Y22" i="1"/>
  <c r="AF15" i="1"/>
  <c r="AF30" i="1"/>
  <c r="AH30" i="1"/>
  <c r="AH15" i="1"/>
  <c r="AH29" i="1"/>
  <c r="Y20" i="1"/>
  <c r="Y14" i="1"/>
  <c r="AL22" i="1"/>
  <c r="AL18" i="1"/>
  <c r="X23" i="1"/>
  <c r="X21" i="1"/>
  <c r="X25" i="1"/>
  <c r="AF20" i="1"/>
  <c r="AF22" i="1"/>
  <c r="AH25" i="1"/>
  <c r="AH28" i="1"/>
  <c r="AH21" i="1"/>
  <c r="Y26" i="1"/>
  <c r="Y27" i="1"/>
  <c r="AL30" i="1"/>
  <c r="AL23" i="1"/>
  <c r="X15" i="1"/>
  <c r="X13" i="1"/>
  <c r="X27" i="1"/>
  <c r="AF29" i="1"/>
  <c r="AH22" i="1"/>
  <c r="AH20" i="1"/>
  <c r="Y18" i="1"/>
  <c r="AL26" i="1"/>
  <c r="X24" i="1"/>
  <c r="X26" i="1"/>
  <c r="D30" i="2"/>
  <c r="H28" i="2" s="1"/>
  <c r="J28" i="2" s="1"/>
  <c r="E21" i="2"/>
  <c r="D21" i="2"/>
  <c r="E20" i="2"/>
  <c r="E19" i="2"/>
  <c r="D19" i="2"/>
  <c r="F19" i="2"/>
  <c r="D20" i="2"/>
  <c r="F21" i="2"/>
  <c r="F23" i="2" s="1"/>
  <c r="AP32" i="1" l="1"/>
  <c r="AF32" i="1"/>
  <c r="AM32" i="1"/>
  <c r="AK32" i="1"/>
  <c r="AN32" i="1"/>
  <c r="AD32" i="1"/>
  <c r="AA32" i="1"/>
  <c r="AJ32" i="1"/>
  <c r="Y32" i="1"/>
  <c r="AO32" i="1"/>
  <c r="AI32" i="1"/>
  <c r="AH32" i="1"/>
  <c r="AL32" i="1"/>
  <c r="AE32" i="1"/>
  <c r="AG32" i="1"/>
  <c r="X32" i="1"/>
  <c r="Z32" i="1"/>
  <c r="AB32" i="1"/>
  <c r="AC32" i="1"/>
  <c r="H31" i="2"/>
  <c r="D23" i="2"/>
  <c r="F24" i="2"/>
  <c r="E24" i="2"/>
  <c r="F22" i="2"/>
  <c r="D22" i="2"/>
  <c r="E23" i="2"/>
  <c r="E22" i="2"/>
  <c r="D24" i="2"/>
  <c r="AQ34" i="1" l="1"/>
  <c r="AR34" i="1" s="1"/>
</calcChain>
</file>

<file path=xl/sharedStrings.xml><?xml version="1.0" encoding="utf-8"?>
<sst xmlns="http://schemas.openxmlformats.org/spreadsheetml/2006/main" count="229" uniqueCount="119">
  <si>
    <t>Costanti</t>
  </si>
  <si>
    <t>f2</t>
  </si>
  <si>
    <t>D</t>
  </si>
  <si>
    <t>a</t>
  </si>
  <si>
    <t>D+a</t>
  </si>
  <si>
    <t>D^2 circa</t>
  </si>
  <si>
    <t>Giri/min iniziali</t>
  </si>
  <si>
    <t>Giri/min finali</t>
  </si>
  <si>
    <t>omega0</t>
  </si>
  <si>
    <t>omega</t>
  </si>
  <si>
    <t>Errore giri/min</t>
  </si>
  <si>
    <t>Errore omega</t>
  </si>
  <si>
    <t>errore delta</t>
  </si>
  <si>
    <t>delta</t>
  </si>
  <si>
    <t>Contributi all'errore finale</t>
  </si>
  <si>
    <t>c</t>
  </si>
  <si>
    <t>errore</t>
  </si>
  <si>
    <t>errori</t>
  </si>
  <si>
    <t>errors</t>
  </si>
  <si>
    <t>values</t>
  </si>
  <si>
    <t>n</t>
  </si>
  <si>
    <t>Distanze</t>
  </si>
  <si>
    <t>D1</t>
  </si>
  <si>
    <t>D2</t>
  </si>
  <si>
    <t>D3</t>
  </si>
  <si>
    <t>f</t>
  </si>
  <si>
    <t>misura</t>
  </si>
  <si>
    <t>errore relativo</t>
  </si>
  <si>
    <t>distanze focali</t>
  </si>
  <si>
    <t>lente 1</t>
  </si>
  <si>
    <t>lente 2</t>
  </si>
  <si>
    <t>delta 1</t>
  </si>
  <si>
    <t>delta 2</t>
  </si>
  <si>
    <t>specchio mobile</t>
  </si>
  <si>
    <t>slente due</t>
  </si>
  <si>
    <t>errore percentuale</t>
  </si>
  <si>
    <t>z</t>
  </si>
  <si>
    <t>clockwise</t>
  </si>
  <si>
    <t>counterclockwise</t>
  </si>
  <si>
    <t>p</t>
  </si>
  <si>
    <t>C simple average</t>
  </si>
  <si>
    <t>C dev</t>
  </si>
  <si>
    <t>errore sistematico</t>
  </si>
  <si>
    <t>Errore totale</t>
  </si>
  <si>
    <t>C</t>
  </si>
  <si>
    <t>Errore strumentale</t>
  </si>
  <si>
    <t>sums</t>
  </si>
  <si>
    <t>C weighted</t>
  </si>
  <si>
    <t>C strum error</t>
  </si>
  <si>
    <t>C random error</t>
  </si>
  <si>
    <t>C error percent</t>
  </si>
  <si>
    <t>C dev media</t>
  </si>
  <si>
    <t>C tot error</t>
  </si>
  <si>
    <t>C relative error</t>
  </si>
  <si>
    <t>errore strum</t>
  </si>
  <si>
    <t>C error per</t>
  </si>
  <si>
    <t>Error</t>
  </si>
  <si>
    <t>p*c</t>
  </si>
  <si>
    <t>C final</t>
  </si>
  <si>
    <t>C error strum</t>
  </si>
  <si>
    <t>C error random</t>
  </si>
  <si>
    <t>C dev med</t>
  </si>
  <si>
    <t>C error tot</t>
  </si>
  <si>
    <t>C dev std</t>
  </si>
  <si>
    <t>error</t>
  </si>
  <si>
    <t>Error rel</t>
  </si>
  <si>
    <t>C 1</t>
  </si>
  <si>
    <t>C 2</t>
  </si>
  <si>
    <t>C 3</t>
  </si>
  <si>
    <t>measure</t>
  </si>
  <si>
    <t>C final error</t>
  </si>
  <si>
    <t>C error rel</t>
  </si>
  <si>
    <t>C vero</t>
  </si>
  <si>
    <t>Hz iniziali</t>
  </si>
  <si>
    <t>error strum rel</t>
  </si>
  <si>
    <t>error rand rel</t>
  </si>
  <si>
    <t>Error strum rel</t>
  </si>
  <si>
    <t>Error rand rel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</si>
  <si>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</si>
  <si>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</si>
  <si>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</si>
  <si>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</si>
  <si>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</si>
  <si>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</si>
  <si>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</si>
  <si>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</si>
  <si>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</si>
  <si>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</si>
  <si>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</si>
  <si>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</si>
  <si>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</si>
  <si>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</si>
  <si>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</si>
  <si>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</si>
  <si>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</si>
  <si>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</si>
  <si>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</si>
  <si>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Strum error rel</t>
  </si>
  <si>
    <t>random error rel</t>
  </si>
  <si>
    <t>C rel error</t>
  </si>
  <si>
    <t>clock to counter</t>
  </si>
  <si>
    <t>Column20</t>
  </si>
  <si>
    <t>Indice</t>
  </si>
  <si>
    <t>$\nu_0$ (\si{\hertz})</t>
  </si>
  <si>
    <t>$\nu$ (\si{\hertz})</t>
  </si>
  <si>
    <t>$\delta_1$ (\si{\milli\meter})</t>
  </si>
  <si>
    <t>$\delta_2$ (\si{\milli\meter})</t>
  </si>
  <si>
    <t>Err. Rel.</t>
  </si>
  <si>
    <t>$c$ (\si{\meter\per\second})</t>
  </si>
  <si>
    <t>$\sigma_{sist}$ (\si{\meter\per\second})</t>
  </si>
  <si>
    <t>chi^2</t>
  </si>
  <si>
    <t>\chi^2</t>
  </si>
  <si>
    <t>\chi_{rid}^2</t>
  </si>
  <si>
    <t>abs(z)</t>
  </si>
  <si>
    <t>z^2</t>
  </si>
  <si>
    <t>\emph{Counterclockwise}</t>
  </si>
  <si>
    <t>\emph{Clockwise}</t>
  </si>
  <si>
    <t>\emph{Counterclock-clockwise}</t>
  </si>
  <si>
    <t>Dev. 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</si>
</sst>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E+00"/>
    <numFmt numFmtId="173" formatCode="0.0000"/>
  </numFmts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3" borderId="0" xfId="0" applyFill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9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3" xfId="0" applyFill="1" applyBorder="1"/>
    <xf numFmtId="0" fontId="0" fillId="3" borderId="14" xfId="0" applyFill="1" applyBorder="1"/>
    <xf numFmtId="2" fontId="0" fillId="5" borderId="10" xfId="0" applyNumberFormat="1" applyFont="1" applyFill="1" applyBorder="1"/>
    <xf numFmtId="2" fontId="0" fillId="5" borderId="8" xfId="0" applyNumberFormat="1" applyFont="1" applyFill="1" applyBorder="1"/>
    <xf numFmtId="2" fontId="0" fillId="4" borderId="11" xfId="0" applyNumberFormat="1" applyFont="1" applyFill="1" applyBorder="1"/>
    <xf numFmtId="2" fontId="0" fillId="4" borderId="3" xfId="0" applyNumberFormat="1" applyFont="1" applyFill="1" applyBorder="1"/>
    <xf numFmtId="2" fontId="0" fillId="5" borderId="11" xfId="0" applyNumberFormat="1" applyFont="1" applyFill="1" applyBorder="1"/>
    <xf numFmtId="2" fontId="0" fillId="5" borderId="3" xfId="0" applyNumberFormat="1" applyFont="1" applyFill="1" applyBorder="1"/>
    <xf numFmtId="1" fontId="0" fillId="0" borderId="0" xfId="0" applyNumberFormat="1"/>
    <xf numFmtId="165" fontId="0" fillId="3" borderId="7" xfId="0" applyNumberFormat="1" applyFill="1" applyBorder="1"/>
    <xf numFmtId="165" fontId="0" fillId="3" borderId="9" xfId="0" applyNumberFormat="1" applyFill="1" applyBorder="1"/>
    <xf numFmtId="0" fontId="2" fillId="0" borderId="0" xfId="0" applyFont="1"/>
    <xf numFmtId="49" fontId="0" fillId="0" borderId="0" xfId="0" applyNumberFormat="1"/>
    <xf numFmtId="11" fontId="0" fillId="3" borderId="14" xfId="0" applyNumberFormat="1" applyFill="1" applyBorder="1" applyAlignment="1">
      <alignment horizontal="right"/>
    </xf>
    <xf numFmtId="0" fontId="0" fillId="0" borderId="0" xfId="0" applyBorder="1"/>
    <xf numFmtId="0" fontId="0" fillId="3" borderId="15" xfId="0" applyFill="1" applyBorder="1"/>
    <xf numFmtId="165" fontId="0" fillId="3" borderId="12" xfId="0" applyNumberFormat="1" applyFill="1" applyBorder="1" applyAlignment="1">
      <alignment horizontal="right"/>
    </xf>
    <xf numFmtId="0" fontId="0" fillId="5" borderId="0" xfId="0" applyFont="1" applyFill="1" applyBorder="1"/>
    <xf numFmtId="0" fontId="0" fillId="4" borderId="0" xfId="0" applyFont="1" applyFill="1" applyBorder="1"/>
    <xf numFmtId="164" fontId="0" fillId="4" borderId="0" xfId="0" applyNumberFormat="1" applyFont="1" applyFill="1" applyBorder="1"/>
    <xf numFmtId="164" fontId="0" fillId="5" borderId="0" xfId="0" applyNumberFormat="1" applyFont="1" applyFill="1" applyBorder="1"/>
    <xf numFmtId="2" fontId="0" fillId="0" borderId="0" xfId="0" applyNumberFormat="1"/>
    <xf numFmtId="173" fontId="0" fillId="0" borderId="0" xfId="0" applyNumberFormat="1"/>
    <xf numFmtId="1" fontId="0" fillId="3" borderId="0" xfId="0" applyNumberFormat="1" applyFill="1"/>
    <xf numFmtId="0" fontId="0" fillId="2" borderId="0" xfId="0" applyFill="1"/>
  </cellXfs>
  <cellStyles count="1">
    <cellStyle name="Normal" xfId="0" builtinId="0"/>
  </cellStyles>
  <dxfs count="20">
    <dxf>
      <fill>
        <patternFill>
          <bgColor theme="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18527175412665"/>
          <c:y val="3.1399912385928076E-2"/>
          <c:w val="0.76959858074276355"/>
          <c:h val="0.84184918287178612"/>
        </c:manualLayout>
      </c:layout>
      <c:scatterChart>
        <c:scatterStyle val="lineMarker"/>
        <c:varyColors val="0"/>
        <c:ser>
          <c:idx val="0"/>
          <c:order val="0"/>
          <c:tx>
            <c:v>Velocità misurata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c'!$V$13:$V$42</c:f>
                <c:numCache>
                  <c:formatCode>General</c:formatCode>
                  <c:ptCount val="3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24">
                    <c:v>0</c:v>
                  </c:pt>
                  <c:pt idx="25">
                    <c:v>0</c:v>
                  </c:pt>
                </c:numCache>
              </c:numRef>
            </c:plus>
            <c:minus>
              <c:numRef>
                <c:f>'Misura di c'!$V$13:$V$41</c:f>
                <c:numCache>
                  <c:formatCode>General</c:formatCode>
                  <c:ptCount val="2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24">
                    <c:v>0</c:v>
                  </c:pt>
                  <c:pt idx="2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c'!$U$13:$U$31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'Misura di c'!$W$13:$W$31</c:f>
              <c:numCache>
                <c:formatCode>0.000E+00</c:formatCode>
                <c:ptCount val="19"/>
                <c:pt idx="0">
                  <c:v>311981759.35506576</c:v>
                </c:pt>
                <c:pt idx="1">
                  <c:v>283191189.13289255</c:v>
                </c:pt>
                <c:pt idx="2">
                  <c:v>311615583.58117723</c:v>
                </c:pt>
                <c:pt idx="3">
                  <c:v>303559716.55557692</c:v>
                </c:pt>
                <c:pt idx="4">
                  <c:v>286349455.18270081</c:v>
                </c:pt>
                <c:pt idx="5">
                  <c:v>300462067.44130909</c:v>
                </c:pt>
                <c:pt idx="6">
                  <c:v>284081982.12129939</c:v>
                </c:pt>
                <c:pt idx="7">
                  <c:v>303576360.90893263</c:v>
                </c:pt>
                <c:pt idx="8">
                  <c:v>283317519.77488542</c:v>
                </c:pt>
                <c:pt idx="9">
                  <c:v>293220069.0454452</c:v>
                </c:pt>
                <c:pt idx="10">
                  <c:v>288755753.12541312</c:v>
                </c:pt>
                <c:pt idx="11">
                  <c:v>308340344.71470666</c:v>
                </c:pt>
                <c:pt idx="12">
                  <c:v>306000888.3815161</c:v>
                </c:pt>
                <c:pt idx="13">
                  <c:v>300917312.99803823</c:v>
                </c:pt>
                <c:pt idx="14">
                  <c:v>299323953.54948729</c:v>
                </c:pt>
                <c:pt idx="15">
                  <c:v>295658028.80319279</c:v>
                </c:pt>
                <c:pt idx="16">
                  <c:v>298982519.38194001</c:v>
                </c:pt>
                <c:pt idx="17">
                  <c:v>289230680.35094941</c:v>
                </c:pt>
                <c:pt idx="18">
                  <c:v>292776803.63494575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4-4331-8644-7D9C2B6A8D62}"/>
            </c:ext>
          </c:extLst>
        </c:ser>
        <c:ser>
          <c:idx val="1"/>
          <c:order val="1"/>
          <c:tx>
            <c:v>Velocità teorica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c'!$U$13:$U$31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'Misura di c'!$AQ$13:$AQ$31</c:f>
              <c:numCache>
                <c:formatCode>General</c:formatCode>
                <c:ptCount val="19"/>
                <c:pt idx="0">
                  <c:v>299711535.88531095</c:v>
                </c:pt>
                <c:pt idx="1">
                  <c:v>299711535.88531095</c:v>
                </c:pt>
                <c:pt idx="2">
                  <c:v>299711535.88531095</c:v>
                </c:pt>
                <c:pt idx="3">
                  <c:v>299711535.88531095</c:v>
                </c:pt>
                <c:pt idx="4">
                  <c:v>299711535.88531095</c:v>
                </c:pt>
                <c:pt idx="5">
                  <c:v>299711535.88531095</c:v>
                </c:pt>
                <c:pt idx="6">
                  <c:v>299711535.88531095</c:v>
                </c:pt>
                <c:pt idx="7">
                  <c:v>299711535.88531095</c:v>
                </c:pt>
                <c:pt idx="8">
                  <c:v>299711535.88531095</c:v>
                </c:pt>
                <c:pt idx="9">
                  <c:v>299711535.88531095</c:v>
                </c:pt>
                <c:pt idx="10">
                  <c:v>299711535.88531095</c:v>
                </c:pt>
                <c:pt idx="11">
                  <c:v>299711535.88531095</c:v>
                </c:pt>
                <c:pt idx="12">
                  <c:v>299711535.88531095</c:v>
                </c:pt>
                <c:pt idx="13">
                  <c:v>299711535.88531095</c:v>
                </c:pt>
                <c:pt idx="14">
                  <c:v>299711535.88531095</c:v>
                </c:pt>
                <c:pt idx="15">
                  <c:v>299711535.88531095</c:v>
                </c:pt>
                <c:pt idx="16">
                  <c:v>299711535.88531095</c:v>
                </c:pt>
                <c:pt idx="17">
                  <c:v>299711535.88531095</c:v>
                </c:pt>
                <c:pt idx="18">
                  <c:v>299711535.88531095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1-4113-AC44-4631ED727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70736"/>
        <c:axId val="408671064"/>
      </c:scatterChart>
      <c:valAx>
        <c:axId val="40867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8671064"/>
        <c:crosses val="autoZero"/>
        <c:crossBetween val="midCat"/>
      </c:valAx>
      <c:valAx>
        <c:axId val="4086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Velocità</a:t>
                </a:r>
                <a:r>
                  <a:rPr lang="it-IT" baseline="0"/>
                  <a:t>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867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609439058916373"/>
          <c:y val="0.36333856815050919"/>
          <c:w val="0.10501892444055286"/>
          <c:h val="0.19910466420187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14909932411248"/>
          <c:y val="3.88845884816445E-2"/>
          <c:w val="0.67483563662877533"/>
          <c:h val="0.80415138212862092"/>
        </c:manualLayout>
      </c:layout>
      <c:scatterChart>
        <c:scatterStyle val="lineMarker"/>
        <c:varyColors val="0"/>
        <c:ser>
          <c:idx val="0"/>
          <c:order val="0"/>
          <c:tx>
            <c:v>Velocità misurata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c (2)'!$V$13:$V$22</c:f>
                <c:numCache>
                  <c:formatCode>General</c:formatCode>
                  <c:ptCount val="10"/>
                  <c:pt idx="0">
                    <c:v>15889872.34006051</c:v>
                  </c:pt>
                  <c:pt idx="1">
                    <c:v>15480056.139716133</c:v>
                  </c:pt>
                  <c:pt idx="2">
                    <c:v>15813142.428932952</c:v>
                  </c:pt>
                  <c:pt idx="3">
                    <c:v>15475385.644453466</c:v>
                  </c:pt>
                  <c:pt idx="4">
                    <c:v>15492782.512805454</c:v>
                  </c:pt>
                  <c:pt idx="5">
                    <c:v>15838245.516928516</c:v>
                  </c:pt>
                  <c:pt idx="6">
                    <c:v>15827253.851627467</c:v>
                  </c:pt>
                  <c:pt idx="7">
                    <c:v>15679652.540733563</c:v>
                  </c:pt>
                  <c:pt idx="8">
                    <c:v>15953301.007862316</c:v>
                  </c:pt>
                  <c:pt idx="9">
                    <c:v>15743852.68255784</c:v>
                  </c:pt>
                </c:numCache>
              </c:numRef>
            </c:plus>
            <c:minus>
              <c:numRef>
                <c:f>'Misura di c (2)'!$V$13:$V$22</c:f>
                <c:numCache>
                  <c:formatCode>General</c:formatCode>
                  <c:ptCount val="10"/>
                  <c:pt idx="0">
                    <c:v>15889872.34006051</c:v>
                  </c:pt>
                  <c:pt idx="1">
                    <c:v>15480056.139716133</c:v>
                  </c:pt>
                  <c:pt idx="2">
                    <c:v>15813142.428932952</c:v>
                  </c:pt>
                  <c:pt idx="3">
                    <c:v>15475385.644453466</c:v>
                  </c:pt>
                  <c:pt idx="4">
                    <c:v>15492782.512805454</c:v>
                  </c:pt>
                  <c:pt idx="5">
                    <c:v>15838245.516928516</c:v>
                  </c:pt>
                  <c:pt idx="6">
                    <c:v>15827253.851627467</c:v>
                  </c:pt>
                  <c:pt idx="7">
                    <c:v>15679652.540733563</c:v>
                  </c:pt>
                  <c:pt idx="8">
                    <c:v>15953301.007862316</c:v>
                  </c:pt>
                  <c:pt idx="9">
                    <c:v>15743852.68255784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 (2)'!$U$13:$U$22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(2)'!$W$13:$W$22</c:f>
              <c:numCache>
                <c:formatCode>General</c:formatCode>
                <c:ptCount val="10"/>
                <c:pt idx="0">
                  <c:v>321641825.00914192</c:v>
                </c:pt>
                <c:pt idx="1">
                  <c:v>290743564.46939451</c:v>
                </c:pt>
                <c:pt idx="2">
                  <c:v>316027129.80948102</c:v>
                </c:pt>
                <c:pt idx="3">
                  <c:v>290377388.69550353</c:v>
                </c:pt>
                <c:pt idx="4">
                  <c:v>291739562.57437664</c:v>
                </c:pt>
                <c:pt idx="5">
                  <c:v>317871958.23222727</c:v>
                </c:pt>
                <c:pt idx="6">
                  <c:v>317065140.68672943</c:v>
                </c:pt>
                <c:pt idx="7">
                  <c:v>306081098.31293952</c:v>
                </c:pt>
                <c:pt idx="8">
                  <c:v>326230304.90970522</c:v>
                </c:pt>
                <c:pt idx="9">
                  <c:v>310893694.19836313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59-4EC9-9CD8-EBEE95229788}"/>
            </c:ext>
          </c:extLst>
        </c:ser>
        <c:ser>
          <c:idx val="1"/>
          <c:order val="1"/>
          <c:tx>
            <c:v>Velocità teorica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 (2)'!$U$13:$U$22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(2)'!$AH$13:$AH$22</c:f>
              <c:numCache>
                <c:formatCode>General</c:formatCode>
                <c:ptCount val="10"/>
                <c:pt idx="0">
                  <c:v>299711535.88531095</c:v>
                </c:pt>
                <c:pt idx="1">
                  <c:v>299711535.88531095</c:v>
                </c:pt>
                <c:pt idx="2">
                  <c:v>299711535.88531095</c:v>
                </c:pt>
                <c:pt idx="3">
                  <c:v>299711535.88531095</c:v>
                </c:pt>
                <c:pt idx="4">
                  <c:v>299711535.88531095</c:v>
                </c:pt>
                <c:pt idx="5">
                  <c:v>299711535.88531095</c:v>
                </c:pt>
                <c:pt idx="6">
                  <c:v>299711535.88531095</c:v>
                </c:pt>
                <c:pt idx="7">
                  <c:v>299711535.88531095</c:v>
                </c:pt>
                <c:pt idx="8">
                  <c:v>299711535.88531095</c:v>
                </c:pt>
                <c:pt idx="9">
                  <c:v>299711535.88531095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59-4EC9-9CD8-EBEE95229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328080"/>
        <c:axId val="398329392"/>
      </c:scatterChart>
      <c:valAx>
        <c:axId val="39832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329392"/>
        <c:crosses val="autoZero"/>
        <c:crossBetween val="midCat"/>
      </c:valAx>
      <c:valAx>
        <c:axId val="398329392"/>
        <c:scaling>
          <c:orientation val="minMax"/>
          <c:min val="2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Velocità</a:t>
                </a:r>
                <a:r>
                  <a:rPr lang="it-IT" baseline="0"/>
                  <a:t>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32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65607175451774"/>
          <c:y val="0.35117515238611369"/>
          <c:w val="0.13377717684256091"/>
          <c:h val="0.249778229807639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13392262185"/>
          <c:y val="3.6282331076141212E-2"/>
          <c:w val="0.73349208345459238"/>
          <c:h val="0.81725807905184944"/>
        </c:manualLayout>
      </c:layout>
      <c:scatterChart>
        <c:scatterStyle val="lineMarker"/>
        <c:varyColors val="0"/>
        <c:ser>
          <c:idx val="0"/>
          <c:order val="0"/>
          <c:tx>
            <c:v>Valori misurati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c (3)'!$V$13:$V$22</c:f>
                <c:numCache>
                  <c:formatCode>General</c:formatCode>
                  <c:ptCount val="10"/>
                  <c:pt idx="0">
                    <c:v>7740798.6844139211</c:v>
                  </c:pt>
                  <c:pt idx="1">
                    <c:v>7897295.4823792512</c:v>
                  </c:pt>
                  <c:pt idx="2">
                    <c:v>7643430.1475030584</c:v>
                  </c:pt>
                  <c:pt idx="3">
                    <c:v>7649381.6389518669</c:v>
                  </c:pt>
                  <c:pt idx="4">
                    <c:v>7786286.5672222953</c:v>
                  </c:pt>
                  <c:pt idx="5">
                    <c:v>7716398.9486763887</c:v>
                  </c:pt>
                  <c:pt idx="6">
                    <c:v>7869439.1249786038</c:v>
                  </c:pt>
                  <c:pt idx="7">
                    <c:v>7806350.0820054552</c:v>
                  </c:pt>
                  <c:pt idx="8">
                    <c:v>7721887.1413852442</c:v>
                  </c:pt>
                  <c:pt idx="9">
                    <c:v>7872235.6562952278</c:v>
                  </c:pt>
                </c:numCache>
              </c:numRef>
            </c:plus>
            <c:minus>
              <c:numRef>
                <c:f>'Misura di c (3)'!$V$13:$V$22</c:f>
                <c:numCache>
                  <c:formatCode>General</c:formatCode>
                  <c:ptCount val="10"/>
                  <c:pt idx="0">
                    <c:v>7740798.6844139211</c:v>
                  </c:pt>
                  <c:pt idx="1">
                    <c:v>7897295.4823792512</c:v>
                  </c:pt>
                  <c:pt idx="2">
                    <c:v>7643430.1475030584</c:v>
                  </c:pt>
                  <c:pt idx="3">
                    <c:v>7649381.6389518669</c:v>
                  </c:pt>
                  <c:pt idx="4">
                    <c:v>7786286.5672222953</c:v>
                  </c:pt>
                  <c:pt idx="5">
                    <c:v>7716398.9486763887</c:v>
                  </c:pt>
                  <c:pt idx="6">
                    <c:v>7869439.1249786038</c:v>
                  </c:pt>
                  <c:pt idx="7">
                    <c:v>7806350.0820054552</c:v>
                  </c:pt>
                  <c:pt idx="8">
                    <c:v>7721887.1413852442</c:v>
                  </c:pt>
                  <c:pt idx="9">
                    <c:v>7872235.6562952278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 (3)'!$U$13:$U$22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(3)'!$W$13:$W$22</c:f>
              <c:numCache>
                <c:formatCode>General</c:formatCode>
                <c:ptCount val="10"/>
                <c:pt idx="0">
                  <c:v>296970884.95530957</c:v>
                </c:pt>
                <c:pt idx="1">
                  <c:v>302974786.42325675</c:v>
                </c:pt>
                <c:pt idx="2">
                  <c:v>293235402.12568319</c:v>
                </c:pt>
                <c:pt idx="3">
                  <c:v>293463727.36115474</c:v>
                </c:pt>
                <c:pt idx="4">
                  <c:v>298715999.04018366</c:v>
                </c:pt>
                <c:pt idx="5">
                  <c:v>296034804.40211803</c:v>
                </c:pt>
                <c:pt idx="6">
                  <c:v>301906094.74864209</c:v>
                </c:pt>
                <c:pt idx="7">
                  <c:v>299485723.19700319</c:v>
                </c:pt>
                <c:pt idx="8">
                  <c:v>296245355.47210461</c:v>
                </c:pt>
                <c:pt idx="9">
                  <c:v>302013381.91806239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C-4E48-8D26-300160021CAE}"/>
            </c:ext>
          </c:extLst>
        </c:ser>
        <c:ser>
          <c:idx val="1"/>
          <c:order val="1"/>
          <c:tx>
            <c:v>Velocità teorica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 (3)'!$U$13:$U$22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(3)'!$AH$12:$AH$22</c:f>
              <c:numCache>
                <c:formatCode>General</c:formatCode>
                <c:ptCount val="11"/>
                <c:pt idx="0">
                  <c:v>299711535.88531095</c:v>
                </c:pt>
                <c:pt idx="1">
                  <c:v>299711535.88531095</c:v>
                </c:pt>
                <c:pt idx="2">
                  <c:v>299711535.88531095</c:v>
                </c:pt>
                <c:pt idx="3">
                  <c:v>299711535.88531095</c:v>
                </c:pt>
                <c:pt idx="4">
                  <c:v>299711535.88531095</c:v>
                </c:pt>
                <c:pt idx="5">
                  <c:v>299711535.88531095</c:v>
                </c:pt>
                <c:pt idx="6">
                  <c:v>299711535.88531095</c:v>
                </c:pt>
                <c:pt idx="7">
                  <c:v>299711535.88531095</c:v>
                </c:pt>
                <c:pt idx="8">
                  <c:v>299711535.88531095</c:v>
                </c:pt>
                <c:pt idx="9">
                  <c:v>299711535.88531095</c:v>
                </c:pt>
                <c:pt idx="10">
                  <c:v>299711535.88531095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DC-4E48-8D26-300160021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509480"/>
        <c:axId val="221508824"/>
      </c:scatterChart>
      <c:valAx>
        <c:axId val="22150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Indice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1508824"/>
        <c:crosses val="autoZero"/>
        <c:crossBetween val="midCat"/>
      </c:valAx>
      <c:valAx>
        <c:axId val="22150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Velocità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1509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228117846126008"/>
          <c:y val="0.44433908630338104"/>
          <c:w val="0.10704709369076804"/>
          <c:h val="0.213571773437230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46059</xdr:colOff>
      <xdr:row>46</xdr:row>
      <xdr:rowOff>84843</xdr:rowOff>
    </xdr:from>
    <xdr:to>
      <xdr:col>53</xdr:col>
      <xdr:colOff>426943</xdr:colOff>
      <xdr:row>69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73E401-5D88-43ED-8E18-3C96D341C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609535</xdr:colOff>
      <xdr:row>1</xdr:row>
      <xdr:rowOff>23532</xdr:rowOff>
    </xdr:from>
    <xdr:to>
      <xdr:col>46</xdr:col>
      <xdr:colOff>607440</xdr:colOff>
      <xdr:row>19</xdr:row>
      <xdr:rowOff>187215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32805D-7C9C-4664-BDB3-2CFE40DB9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661856</xdr:colOff>
      <xdr:row>27</xdr:row>
      <xdr:rowOff>75596</xdr:rowOff>
    </xdr:from>
    <xdr:to>
      <xdr:col>28</xdr:col>
      <xdr:colOff>306457</xdr:colOff>
      <xdr:row>47</xdr:row>
      <xdr:rowOff>115955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9F1D34-60DA-40A2-B882-122BDEEED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4" displayName="Table4" ref="V26:AO54" totalsRowShown="0">
  <autoFilter ref="V26:AO54"/>
  <tableColumns count="20">
    <tableColumn id="1" name="Column1" dataDxfId="19"/>
    <tableColumn id="2" name="Column2" dataDxfId="18"/>
    <tableColumn id="3" name="Column3" dataDxfId="17"/>
    <tableColumn id="4" name="Column4" dataDxfId="16"/>
    <tableColumn id="5" name="Column5" dataDxfId="15"/>
    <tableColumn id="6" name="Column6" dataDxfId="14"/>
    <tableColumn id="7" name="Column7" dataDxfId="13"/>
    <tableColumn id="8" name="Column8" dataDxfId="12"/>
    <tableColumn id="9" name="Column9" dataDxfId="11"/>
    <tableColumn id="10" name="Column10" dataDxfId="10"/>
    <tableColumn id="11" name="Column11" dataDxfId="9"/>
    <tableColumn id="12" name="Column12" dataDxfId="8"/>
    <tableColumn id="13" name="Column13" dataDxfId="7"/>
    <tableColumn id="14" name="Column14" dataDxfId="6"/>
    <tableColumn id="15" name="Column15" dataDxfId="5"/>
    <tableColumn id="16" name="Column16" dataDxfId="4"/>
    <tableColumn id="17" name="Column17" dataDxfId="3"/>
    <tableColumn id="18" name="Column18" dataDxfId="2"/>
    <tableColumn id="19" name="Column19" dataDxfId="1"/>
    <tableColumn id="20" name="Column2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J23" sqref="J23:L23"/>
    </sheetView>
  </sheetViews>
  <sheetFormatPr defaultRowHeight="15"/>
  <cols>
    <col min="1" max="1" width="12" bestFit="1" customWidth="1"/>
    <col min="2" max="3" width="11.7109375" bestFit="1" customWidth="1"/>
    <col min="4" max="4" width="12.7109375" customWidth="1"/>
    <col min="5" max="6" width="11.7109375" bestFit="1" customWidth="1"/>
    <col min="8" max="9" width="11.5703125" bestFit="1" customWidth="1"/>
    <col min="10" max="10" width="10.5703125" bestFit="1" customWidth="1"/>
    <col min="14" max="22" width="11" customWidth="1"/>
  </cols>
  <sheetData>
    <row r="1" spans="1:17">
      <c r="A1" t="s">
        <v>21</v>
      </c>
    </row>
    <row r="2" spans="1:17">
      <c r="B2" t="s">
        <v>26</v>
      </c>
      <c r="C2" t="s">
        <v>16</v>
      </c>
      <c r="D2" t="s">
        <v>27</v>
      </c>
    </row>
    <row r="3" spans="1:17">
      <c r="A3" t="s">
        <v>22</v>
      </c>
      <c r="B3">
        <v>6.32</v>
      </c>
      <c r="C3" s="1">
        <v>0.04</v>
      </c>
      <c r="D3" s="1">
        <f>C3/B3</f>
        <v>6.3291139240506328E-3</v>
      </c>
    </row>
    <row r="4" spans="1:17">
      <c r="A4" t="s">
        <v>23</v>
      </c>
      <c r="B4">
        <v>0.66</v>
      </c>
      <c r="C4" s="1">
        <v>0.02</v>
      </c>
      <c r="D4" s="1">
        <f t="shared" ref="D4:D7" si="0">C4/B4</f>
        <v>3.0303030303030304E-2</v>
      </c>
    </row>
    <row r="5" spans="1:17">
      <c r="A5" t="s">
        <v>24</v>
      </c>
      <c r="B5">
        <v>6.54</v>
      </c>
      <c r="C5" s="1">
        <v>0.04</v>
      </c>
      <c r="D5" s="1">
        <f t="shared" si="0"/>
        <v>6.1162079510703364E-3</v>
      </c>
    </row>
    <row r="6" spans="1:17">
      <c r="A6" t="s">
        <v>2</v>
      </c>
      <c r="B6">
        <f>(B5+B4+B3)</f>
        <v>13.52</v>
      </c>
      <c r="C6" s="1">
        <f>SQRT(3)*2*(C5+C4+C3)</f>
        <v>0.34641016151377546</v>
      </c>
      <c r="D6" s="1">
        <f t="shared" si="0"/>
        <v>2.562205336640351E-2</v>
      </c>
    </row>
    <row r="7" spans="1:17">
      <c r="A7" t="s">
        <v>3</v>
      </c>
      <c r="B7" s="1">
        <f>B15-B16</f>
        <v>0.47799999999999998</v>
      </c>
      <c r="C7" s="1">
        <f>SQRT(C15^2+C16^2)</f>
        <v>5.0990195135927853E-3</v>
      </c>
      <c r="D7" s="1">
        <f t="shared" si="0"/>
        <v>1.0667404840152271E-2</v>
      </c>
    </row>
    <row r="8" spans="1:17">
      <c r="A8" t="s">
        <v>25</v>
      </c>
      <c r="B8" s="1">
        <f>B13</f>
        <v>0.252</v>
      </c>
      <c r="C8" s="1">
        <f>B8*D8</f>
        <v>2.52E-4</v>
      </c>
      <c r="D8" s="1">
        <v>1E-3</v>
      </c>
    </row>
    <row r="10" spans="1:17">
      <c r="A10" t="s">
        <v>28</v>
      </c>
      <c r="H10" s="4"/>
      <c r="I10" s="4"/>
      <c r="J10" s="4"/>
      <c r="K10" s="4"/>
    </row>
    <row r="11" spans="1:17">
      <c r="H11" s="4"/>
      <c r="I11" s="31"/>
      <c r="J11" s="31"/>
      <c r="K11" s="34"/>
      <c r="L11" s="31"/>
      <c r="N11" s="31"/>
      <c r="O11" s="31"/>
      <c r="P11" s="34"/>
      <c r="Q11" s="31"/>
    </row>
    <row r="12" spans="1:17">
      <c r="A12" t="s">
        <v>29</v>
      </c>
      <c r="B12" s="1">
        <v>4.8000000000000001E-2</v>
      </c>
      <c r="H12" s="4"/>
      <c r="I12" s="32"/>
      <c r="J12" s="32"/>
      <c r="K12" s="33"/>
      <c r="L12" s="32"/>
      <c r="N12" s="32"/>
      <c r="O12" s="32"/>
      <c r="P12" s="33"/>
      <c r="Q12" s="32"/>
    </row>
    <row r="13" spans="1:17">
      <c r="A13" t="s">
        <v>30</v>
      </c>
      <c r="B13" s="1">
        <v>0.252</v>
      </c>
      <c r="H13" s="4"/>
      <c r="I13" s="31"/>
      <c r="J13" s="34"/>
      <c r="K13" s="34"/>
      <c r="L13" s="31"/>
      <c r="N13" s="31"/>
      <c r="O13" s="34"/>
      <c r="P13" s="34"/>
      <c r="Q13" s="31"/>
    </row>
    <row r="14" spans="1:17">
      <c r="I14" s="32"/>
      <c r="J14" s="32"/>
      <c r="K14" s="33"/>
      <c r="L14" s="32"/>
      <c r="N14" s="32"/>
      <c r="O14" s="32"/>
      <c r="P14" s="33"/>
      <c r="Q14" s="32"/>
    </row>
    <row r="15" spans="1:17">
      <c r="A15" t="s">
        <v>33</v>
      </c>
      <c r="B15" s="1">
        <v>0.86499999999999999</v>
      </c>
      <c r="C15" s="1">
        <v>5.0000000000000001E-3</v>
      </c>
      <c r="I15" s="31"/>
      <c r="J15" s="34"/>
      <c r="K15" s="34"/>
      <c r="L15" s="31"/>
      <c r="N15" s="31"/>
      <c r="O15" s="34"/>
      <c r="P15" s="34"/>
      <c r="Q15" s="31"/>
    </row>
    <row r="16" spans="1:17">
      <c r="A16" t="s">
        <v>34</v>
      </c>
      <c r="B16" s="1">
        <v>0.38700000000000001</v>
      </c>
      <c r="C16" s="1">
        <v>1E-3</v>
      </c>
      <c r="I16" s="32"/>
      <c r="J16" s="32"/>
      <c r="K16" s="33"/>
      <c r="L16" s="32"/>
      <c r="N16" s="32"/>
      <c r="O16" s="32"/>
      <c r="P16" s="33"/>
      <c r="Q16" s="32"/>
    </row>
    <row r="17" spans="1:17">
      <c r="I17" s="31"/>
      <c r="J17" s="34"/>
      <c r="K17" s="34"/>
      <c r="L17" s="31"/>
      <c r="N17" s="31"/>
      <c r="O17" s="34"/>
      <c r="P17" s="34"/>
      <c r="Q17" s="31"/>
    </row>
    <row r="18" spans="1:17">
      <c r="A18" t="s">
        <v>72</v>
      </c>
      <c r="B18">
        <f>299792458/1.000276</f>
        <v>299709738.11228102</v>
      </c>
      <c r="I18" s="32"/>
      <c r="J18" s="32"/>
      <c r="K18" s="33"/>
      <c r="L18" s="32"/>
      <c r="N18" s="32"/>
      <c r="O18" s="32"/>
      <c r="P18" s="33"/>
      <c r="Q18" s="32"/>
    </row>
    <row r="19" spans="1:17">
      <c r="D19" t="str">
        <f t="array" ref="D19:F21">TRANSPOSE(A22:C24)</f>
        <v>C 1</v>
      </c>
      <c r="E19" t="str">
        <v>C 2</v>
      </c>
      <c r="F19" t="str">
        <v>C 3</v>
      </c>
      <c r="I19" s="31"/>
      <c r="J19" s="34"/>
      <c r="K19" s="34"/>
      <c r="L19" s="31"/>
      <c r="N19" s="31"/>
      <c r="O19" s="34"/>
      <c r="P19" s="34"/>
      <c r="Q19" s="31"/>
    </row>
    <row r="20" spans="1:17">
      <c r="B20" t="s">
        <v>64</v>
      </c>
      <c r="D20">
        <v>2768451.8940290581</v>
      </c>
      <c r="E20">
        <v>6807674.9573684502</v>
      </c>
      <c r="F20">
        <v>2694039.142177809</v>
      </c>
      <c r="I20" s="32"/>
      <c r="J20" s="32"/>
      <c r="K20" s="33"/>
      <c r="L20" s="32"/>
      <c r="N20" s="32"/>
      <c r="O20" s="32"/>
      <c r="P20" s="33"/>
      <c r="Q20" s="32"/>
    </row>
    <row r="21" spans="1:17">
      <c r="C21" t="s">
        <v>69</v>
      </c>
      <c r="D21">
        <v>297591064.4613865</v>
      </c>
      <c r="E21">
        <v>307778654.13901591</v>
      </c>
      <c r="F21">
        <v>298030813.56154925</v>
      </c>
      <c r="I21" s="31"/>
      <c r="J21" s="34"/>
      <c r="K21" s="34"/>
      <c r="L21" s="31"/>
      <c r="N21" s="31"/>
      <c r="O21" s="34"/>
      <c r="P21" s="34"/>
      <c r="Q21" s="31"/>
    </row>
    <row r="22" spans="1:17">
      <c r="A22" t="s">
        <v>66</v>
      </c>
      <c r="B22">
        <f>'Misura di c'!G63</f>
        <v>2768451.8940290581</v>
      </c>
      <c r="C22">
        <f>'Misura di c'!B63</f>
        <v>297591064.4613865</v>
      </c>
      <c r="D22">
        <f>(D$21-$C22)/SQRT(D$20^2+$B22^2)</f>
        <v>0</v>
      </c>
      <c r="E22">
        <f t="shared" ref="E22:F22" si="1">(E$21-$C22)/SQRT(E$20^2+$B22^2)</f>
        <v>1.3862428673794263</v>
      </c>
      <c r="F22">
        <f t="shared" si="1"/>
        <v>0.11383843776742338</v>
      </c>
      <c r="I22" s="32"/>
      <c r="J22" s="32"/>
      <c r="K22" s="33"/>
      <c r="L22" s="32"/>
      <c r="N22" s="32"/>
      <c r="O22" s="32"/>
      <c r="P22" s="33"/>
      <c r="Q22" s="32"/>
    </row>
    <row r="23" spans="1:17">
      <c r="A23" t="s">
        <v>67</v>
      </c>
      <c r="B23">
        <f>'Misura di c (2)'!F41</f>
        <v>6807674.9573684502</v>
      </c>
      <c r="C23">
        <f>'Misura di c (2)'!A41</f>
        <v>307778654.13901591</v>
      </c>
      <c r="D23">
        <f t="shared" ref="D23:F24" si="2">(D$21-$C23)/SQRT(D$20^2+$B23^2)</f>
        <v>-1.3862428673794263</v>
      </c>
      <c r="E23">
        <f t="shared" si="2"/>
        <v>0</v>
      </c>
      <c r="F23">
        <f t="shared" si="2"/>
        <v>-1.3314251771209229</v>
      </c>
      <c r="I23" s="31"/>
      <c r="J23" s="34"/>
      <c r="K23" s="34"/>
      <c r="L23" s="31"/>
      <c r="N23" s="31"/>
      <c r="O23" s="34"/>
      <c r="P23" s="34"/>
      <c r="Q23" s="31"/>
    </row>
    <row r="24" spans="1:17">
      <c r="A24" t="s">
        <v>68</v>
      </c>
      <c r="B24">
        <f>'Misura di c (3)'!G43</f>
        <v>2694039.142177809</v>
      </c>
      <c r="C24">
        <f>'Misura di c (3)'!B43</f>
        <v>298030813.56154925</v>
      </c>
      <c r="D24">
        <f t="shared" si="2"/>
        <v>-0.11383843776742338</v>
      </c>
      <c r="E24">
        <f t="shared" si="2"/>
        <v>1.3314251771209229</v>
      </c>
      <c r="F24">
        <f t="shared" si="2"/>
        <v>0</v>
      </c>
      <c r="I24" s="32"/>
      <c r="J24" s="32"/>
      <c r="K24" s="33"/>
      <c r="L24" s="32"/>
      <c r="N24" s="32"/>
      <c r="O24" s="32"/>
      <c r="P24" s="33"/>
      <c r="Q24" s="32"/>
    </row>
    <row r="25" spans="1:17">
      <c r="I25" s="31"/>
      <c r="J25" s="34"/>
      <c r="K25" s="34"/>
      <c r="L25" s="31"/>
      <c r="N25" s="31"/>
      <c r="O25" s="34"/>
      <c r="P25" s="34"/>
      <c r="Q25" s="31"/>
    </row>
    <row r="26" spans="1:17">
      <c r="A26" t="s">
        <v>44</v>
      </c>
      <c r="B26" t="s">
        <v>56</v>
      </c>
      <c r="C26" t="s">
        <v>39</v>
      </c>
      <c r="D26" t="s">
        <v>57</v>
      </c>
      <c r="I26" s="32"/>
      <c r="J26" s="32"/>
      <c r="K26" s="33"/>
      <c r="L26" s="32"/>
      <c r="N26" s="32"/>
      <c r="O26" s="32"/>
      <c r="P26" s="33"/>
      <c r="Q26" s="32"/>
    </row>
    <row r="27" spans="1:17">
      <c r="A27">
        <f>C22</f>
        <v>297591064.4613865</v>
      </c>
      <c r="B27">
        <f>B22</f>
        <v>2768451.8940290581</v>
      </c>
      <c r="C27">
        <f>B27^-2</f>
        <v>1.3047461895677714E-13</v>
      </c>
      <c r="D27">
        <f>C27*A27</f>
        <v>3.8828080740541106E-5</v>
      </c>
      <c r="H27" t="s">
        <v>58</v>
      </c>
      <c r="I27" t="s">
        <v>70</v>
      </c>
      <c r="J27" t="s">
        <v>71</v>
      </c>
      <c r="N27" s="31"/>
      <c r="O27" s="34"/>
      <c r="P27" s="34"/>
      <c r="Q27" s="31"/>
    </row>
    <row r="28" spans="1:17">
      <c r="A28">
        <f t="shared" ref="A28:A29" si="3">C23</f>
        <v>307778654.13901591</v>
      </c>
      <c r="B28">
        <f t="shared" ref="B28" si="4">B23</f>
        <v>6807674.9573684502</v>
      </c>
      <c r="C28">
        <f t="shared" ref="C28:C29" si="5">B28^-2</f>
        <v>2.1577562187362705E-14</v>
      </c>
      <c r="D28">
        <f t="shared" ref="D28:D29" si="6">C28*A28</f>
        <v>6.6411130496274134E-6</v>
      </c>
      <c r="H28">
        <f>D30/C30</f>
        <v>298558558.72766507</v>
      </c>
      <c r="I28">
        <f>C30^-0.5</f>
        <v>1857484.7945189711</v>
      </c>
      <c r="J28">
        <f>I28/H28</f>
        <v>6.2215091151123399E-3</v>
      </c>
      <c r="N28" s="32"/>
      <c r="O28" s="32"/>
      <c r="P28" s="33"/>
      <c r="Q28" s="32"/>
    </row>
    <row r="29" spans="1:17">
      <c r="A29">
        <f t="shared" si="3"/>
        <v>298030813.56154925</v>
      </c>
      <c r="B29">
        <f>B24</f>
        <v>2694039.142177809</v>
      </c>
      <c r="C29">
        <f t="shared" si="5"/>
        <v>1.3778190885467998E-13</v>
      </c>
      <c r="D29">
        <f t="shared" si="6"/>
        <v>4.1063254390023501E-5</v>
      </c>
      <c r="N29" s="31"/>
      <c r="O29" s="34"/>
      <c r="P29" s="34"/>
      <c r="Q29" s="31"/>
    </row>
    <row r="30" spans="1:17">
      <c r="C30">
        <f>SUM(C27:C29)</f>
        <v>2.8983408999881986E-13</v>
      </c>
      <c r="D30">
        <f>SUM(D27:D29)</f>
        <v>8.6532448180192019E-5</v>
      </c>
      <c r="H30" t="s">
        <v>36</v>
      </c>
    </row>
    <row r="31" spans="1:17">
      <c r="H31">
        <f>ABS(H28-B18)/I28</f>
        <v>0.61975171372214444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6"/>
  <sheetViews>
    <sheetView zoomScale="85" zoomScaleNormal="85" workbookViewId="0">
      <selection activeCell="B10" sqref="B10"/>
    </sheetView>
  </sheetViews>
  <sheetFormatPr defaultRowHeight="15"/>
  <cols>
    <col min="1" max="1" width="12" bestFit="1" customWidth="1"/>
    <col min="2" max="2" width="19" bestFit="1" customWidth="1"/>
    <col min="3" max="3" width="13.7109375" bestFit="1" customWidth="1"/>
    <col min="4" max="5" width="13.5703125" customWidth="1"/>
    <col min="6" max="6" width="12.7109375" bestFit="1" customWidth="1"/>
    <col min="7" max="8" width="9.28515625" bestFit="1" customWidth="1"/>
    <col min="9" max="9" width="11.42578125" bestFit="1" customWidth="1"/>
    <col min="11" max="13" width="12" bestFit="1" customWidth="1"/>
    <col min="14" max="14" width="14.42578125" bestFit="1" customWidth="1"/>
    <col min="15" max="15" width="12.42578125" bestFit="1" customWidth="1"/>
    <col min="16" max="16" width="12" bestFit="1" customWidth="1"/>
    <col min="17" max="17" width="12.28515625" customWidth="1"/>
    <col min="18" max="18" width="16" bestFit="1" customWidth="1"/>
    <col min="19" max="19" width="15.5703125" customWidth="1"/>
    <col min="20" max="20" width="11.7109375" customWidth="1"/>
    <col min="21" max="21" width="9.42578125" bestFit="1" customWidth="1"/>
    <col min="22" max="22" width="11.140625" customWidth="1"/>
    <col min="23" max="23" width="10.28515625" bestFit="1" customWidth="1"/>
    <col min="24" max="42" width="12.28515625" bestFit="1" customWidth="1"/>
    <col min="43" max="43" width="12" bestFit="1" customWidth="1"/>
    <col min="44" max="46" width="9.140625" bestFit="1" customWidth="1"/>
    <col min="47" max="48" width="9.140625" customWidth="1"/>
    <col min="49" max="53" width="9.140625" bestFit="1" customWidth="1"/>
  </cols>
  <sheetData>
    <row r="1" spans="1:43">
      <c r="A1" t="s">
        <v>0</v>
      </c>
      <c r="C1" t="s">
        <v>17</v>
      </c>
      <c r="E1" t="s">
        <v>37</v>
      </c>
    </row>
    <row r="2" spans="1:43">
      <c r="A2" t="s">
        <v>1</v>
      </c>
      <c r="B2" s="1">
        <f>Sheet1!B8</f>
        <v>0.252</v>
      </c>
      <c r="C2" s="1">
        <f>Sheet1!C8</f>
        <v>2.52E-4</v>
      </c>
      <c r="E2" s="1"/>
    </row>
    <row r="3" spans="1:43">
      <c r="A3" t="s">
        <v>2</v>
      </c>
      <c r="B3" s="1">
        <f>Sheet1!B6</f>
        <v>13.52</v>
      </c>
      <c r="C3" s="1">
        <f>Sheet1!C6</f>
        <v>0.34641016151377546</v>
      </c>
      <c r="E3" s="1"/>
    </row>
    <row r="4" spans="1:43">
      <c r="A4" t="s">
        <v>3</v>
      </c>
      <c r="B4" s="1">
        <f>Sheet1!B7</f>
        <v>0.47799999999999998</v>
      </c>
      <c r="C4" s="1">
        <f>Sheet1!C7</f>
        <v>5.0990195135927853E-3</v>
      </c>
      <c r="E4" s="1"/>
    </row>
    <row r="5" spans="1:43">
      <c r="A5" t="s">
        <v>4</v>
      </c>
      <c r="B5" s="1">
        <f>B4+B3</f>
        <v>13.997999999999999</v>
      </c>
      <c r="C5">
        <f>SQRT(C4^2+C3^2)</f>
        <v>0.34644768724873887</v>
      </c>
    </row>
    <row r="6" spans="1:43">
      <c r="A6" t="s">
        <v>5</v>
      </c>
      <c r="B6" s="1">
        <f>B3^2</f>
        <v>182.79039999999998</v>
      </c>
      <c r="C6" s="1">
        <f>2*B3*C3</f>
        <v>9.3669307673324873</v>
      </c>
      <c r="V6" s="1"/>
      <c r="Z6" s="25"/>
    </row>
    <row r="7" spans="1:43">
      <c r="A7" t="s">
        <v>10</v>
      </c>
      <c r="B7">
        <v>0</v>
      </c>
    </row>
    <row r="8" spans="1:43">
      <c r="A8" t="s">
        <v>11</v>
      </c>
      <c r="B8">
        <v>0</v>
      </c>
      <c r="AA8" s="26"/>
      <c r="AE8" s="1"/>
    </row>
    <row r="9" spans="1:43">
      <c r="A9" t="s">
        <v>12</v>
      </c>
      <c r="B9" s="1">
        <f>0.00001*SQRT(2)</f>
        <v>1.4142135623730953E-5</v>
      </c>
      <c r="C9" s="1"/>
      <c r="E9" s="1"/>
      <c r="S9" t="s">
        <v>110</v>
      </c>
    </row>
    <row r="10" spans="1:43" ht="15.75" thickBot="1">
      <c r="A10" t="s">
        <v>0</v>
      </c>
      <c r="B10" s="22">
        <f>299792458/1.00027</f>
        <v>299711535.88531095</v>
      </c>
      <c r="S10" s="36">
        <f>SUM(T13:T32)</f>
        <v>16.254863003179011</v>
      </c>
      <c r="T10">
        <f>S10/(COUNT(T13:T32)-2)</f>
        <v>0.9030479446210562</v>
      </c>
      <c r="U10" s="38"/>
      <c r="V10" s="13"/>
      <c r="W10" s="13" t="s">
        <v>20</v>
      </c>
      <c r="X10" s="13">
        <f t="array" ref="X10:AP12">TRANSPOSE(U13:W31)</f>
        <v>1</v>
      </c>
      <c r="Y10" s="13">
        <v>2</v>
      </c>
      <c r="Z10" s="13">
        <v>3</v>
      </c>
      <c r="AA10" s="13">
        <v>4</v>
      </c>
      <c r="AB10" s="13">
        <v>5</v>
      </c>
      <c r="AC10" s="13">
        <v>6</v>
      </c>
      <c r="AD10" s="13">
        <v>7</v>
      </c>
      <c r="AE10" s="13">
        <v>8</v>
      </c>
      <c r="AF10" s="13">
        <v>9</v>
      </c>
      <c r="AG10" s="13">
        <v>10</v>
      </c>
      <c r="AH10" s="13">
        <v>11</v>
      </c>
      <c r="AI10" s="13">
        <v>12</v>
      </c>
      <c r="AJ10" s="13">
        <v>13</v>
      </c>
      <c r="AK10" s="13">
        <v>14</v>
      </c>
      <c r="AL10" s="13">
        <v>15</v>
      </c>
      <c r="AM10" s="13">
        <v>16</v>
      </c>
      <c r="AN10" s="13">
        <v>17</v>
      </c>
      <c r="AO10" s="13">
        <v>18</v>
      </c>
      <c r="AP10" s="13">
        <v>19</v>
      </c>
    </row>
    <row r="11" spans="1:43">
      <c r="I11" t="s">
        <v>14</v>
      </c>
      <c r="U11" s="12"/>
      <c r="V11" s="14" t="s">
        <v>18</v>
      </c>
      <c r="W11" s="15"/>
      <c r="X11" s="27" t="str">
        <v>0.127E+08</v>
      </c>
      <c r="Y11" s="27" t="str">
        <v>0.124E+08</v>
      </c>
      <c r="Z11" s="27" t="str">
        <v>0.120E+08</v>
      </c>
      <c r="AA11" s="27" t="str">
        <v>0.124E+08</v>
      </c>
      <c r="AB11" s="27" t="str">
        <v>0.123E+08</v>
      </c>
      <c r="AC11" s="27" t="str">
        <v>0.120E+08</v>
      </c>
      <c r="AD11" s="27" t="str">
        <v>0.122E+08</v>
      </c>
      <c r="AE11" s="27" t="str">
        <v>0.120E+08</v>
      </c>
      <c r="AF11" s="27" t="str">
        <v>0.123E+08</v>
      </c>
      <c r="AG11" s="27" t="str">
        <v>0.120E+08</v>
      </c>
      <c r="AH11" s="27" t="str">
        <v>0.121E+08</v>
      </c>
      <c r="AI11" s="27" t="str">
        <v>0.120E+08</v>
      </c>
      <c r="AJ11" s="27" t="str">
        <v>0.124E+08</v>
      </c>
      <c r="AK11" s="27" t="str">
        <v>0.123E+08</v>
      </c>
      <c r="AL11" s="27" t="str">
        <v>0.122E+08</v>
      </c>
      <c r="AM11" s="27" t="str">
        <v>0.122E+08</v>
      </c>
      <c r="AN11" s="27" t="str">
        <v>0.122E+08</v>
      </c>
      <c r="AO11" s="27" t="str">
        <v>0.122E+08</v>
      </c>
      <c r="AP11" s="27" t="str">
        <v>0.121E+08</v>
      </c>
    </row>
    <row r="12" spans="1:43" ht="15.75" thickBot="1">
      <c r="B12" t="s">
        <v>73</v>
      </c>
      <c r="C12" t="s">
        <v>7</v>
      </c>
      <c r="D12" t="s">
        <v>31</v>
      </c>
      <c r="E12" t="s">
        <v>32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54</v>
      </c>
      <c r="Q12" t="s">
        <v>16</v>
      </c>
      <c r="R12" t="s">
        <v>35</v>
      </c>
      <c r="S12" t="s">
        <v>36</v>
      </c>
      <c r="T12" t="s">
        <v>114</v>
      </c>
      <c r="U12" s="12" t="s">
        <v>20</v>
      </c>
      <c r="V12" s="29"/>
      <c r="W12" s="4" t="s">
        <v>19</v>
      </c>
      <c r="X12" s="23">
        <v>311981759.35506576</v>
      </c>
      <c r="Y12" s="23">
        <v>283191189.13289255</v>
      </c>
      <c r="Z12" s="23">
        <v>311615583.58117723</v>
      </c>
      <c r="AA12" s="23">
        <v>303559716.55557692</v>
      </c>
      <c r="AB12" s="23">
        <v>286349455.18270081</v>
      </c>
      <c r="AC12" s="23">
        <v>300462067.44130909</v>
      </c>
      <c r="AD12" s="23">
        <v>284081982.12129939</v>
      </c>
      <c r="AE12" s="23">
        <v>303576360.90893263</v>
      </c>
      <c r="AF12" s="23">
        <v>283317519.77488542</v>
      </c>
      <c r="AG12" s="23">
        <v>293220069.0454452</v>
      </c>
      <c r="AH12" s="23">
        <v>288755753.12541312</v>
      </c>
      <c r="AI12" s="23">
        <v>308340344.71470666</v>
      </c>
      <c r="AJ12" s="23">
        <v>306000888.3815161</v>
      </c>
      <c r="AK12" s="23">
        <v>300917312.99803823</v>
      </c>
      <c r="AL12" s="23">
        <v>299323953.54948729</v>
      </c>
      <c r="AM12" s="23">
        <v>295658028.80319279</v>
      </c>
      <c r="AN12" s="23">
        <v>298982519.38194001</v>
      </c>
      <c r="AO12" s="23">
        <v>289230680.35094941</v>
      </c>
      <c r="AP12" s="23">
        <v>292776803.63494575</v>
      </c>
      <c r="AQ12" t="s">
        <v>44</v>
      </c>
    </row>
    <row r="13" spans="1:43" ht="15.75" thickTop="1">
      <c r="A13">
        <v>1</v>
      </c>
      <c r="B13">
        <v>61</v>
      </c>
      <c r="C13">
        <v>913</v>
      </c>
      <c r="D13" s="1">
        <v>9.9500000000000005E-3</v>
      </c>
      <c r="E13" s="1">
        <v>1.017E-2</v>
      </c>
      <c r="F13">
        <f>ABS(E13-D13)</f>
        <v>2.1999999999999971E-4</v>
      </c>
      <c r="G13" s="22">
        <f>2*PI()*B13</f>
        <v>383.27430373795477</v>
      </c>
      <c r="H13" s="22">
        <f>2*PI()*C13</f>
        <v>5736.5481854549625</v>
      </c>
      <c r="K13">
        <f>((4*$B$3*(2*$B$4+$B$3-2*$B$2)*$B$2*(H13-G13))/(($B$5-$B$2)^2*F13)*$C$3)^2</f>
        <v>72154106604254.313</v>
      </c>
      <c r="L13">
        <f>((4*$B$6*$B$2*(G13-H13)/(($B$5-$B$2)^2*F13))*$C$4)^2</f>
        <v>14638257581.1929</v>
      </c>
      <c r="M13">
        <f>((4*$B$6*$B$5*(H13-G13)/(($B$5-$B$2)^2*F13))*$C$2)^2</f>
        <v>110318415463.16502</v>
      </c>
      <c r="O13" s="22">
        <f>4*$B$2*$B$6*ABS(H13-G13)/(($B$5-$B$2)*F13)</f>
        <v>326162748.41666162</v>
      </c>
      <c r="P13">
        <f>SQRT(K13+L13+M13)</f>
        <v>8501709.4326552153</v>
      </c>
      <c r="Q13" s="22">
        <f>SQRT(P13^2+$O$37^2)</f>
        <v>12675356.582219623</v>
      </c>
      <c r="R13" s="2">
        <f>Q13/O13</f>
        <v>3.886206086915632E-2</v>
      </c>
      <c r="S13" s="2">
        <f>(O13-$B$10)/Q13</f>
        <v>2.0868219651078812</v>
      </c>
      <c r="T13" s="36">
        <f>S13^2</f>
        <v>4.3548259140567191</v>
      </c>
      <c r="U13" s="12">
        <v>1</v>
      </c>
      <c r="V13" s="30" t="str">
        <f>TEXT(Q13/100000000, "0.000") &amp; "E+08"</f>
        <v>0.127E+08</v>
      </c>
      <c r="W13" s="24">
        <f t="shared" ref="W13:W31" si="0">O14</f>
        <v>311981759.35506576</v>
      </c>
      <c r="X13" s="16">
        <f t="shared" ref="X13:AG22" si="1">ABS(($W13-X$12)/SQRT($V13^2+X$11^2))</f>
        <v>0</v>
      </c>
      <c r="Y13" s="17">
        <f t="shared" si="1"/>
        <v>1.6220361333702451</v>
      </c>
      <c r="Z13" s="17">
        <f t="shared" si="1"/>
        <v>2.0957202926249481E-2</v>
      </c>
      <c r="AA13" s="17">
        <f t="shared" si="1"/>
        <v>0.47449069720198223</v>
      </c>
      <c r="AB13" s="17">
        <f t="shared" si="1"/>
        <v>1.4497965257371583</v>
      </c>
      <c r="AC13" s="17">
        <f t="shared" si="1"/>
        <v>0.65930227584626411</v>
      </c>
      <c r="AD13" s="17">
        <f t="shared" si="1"/>
        <v>1.5842687147203638</v>
      </c>
      <c r="AE13" s="17">
        <f t="shared" si="1"/>
        <v>0.48106306717390629</v>
      </c>
      <c r="AF13" s="17">
        <f t="shared" si="1"/>
        <v>1.6212867433528411</v>
      </c>
      <c r="AG13" s="17">
        <f t="shared" si="1"/>
        <v>1.0737808973071568</v>
      </c>
      <c r="AH13" s="17">
        <f t="shared" ref="AH13:AP22" si="2">ABS(($W13-AH$12)/SQRT($V13^2+AH$11^2))</f>
        <v>1.324069525546844</v>
      </c>
      <c r="AI13" s="17">
        <f t="shared" si="2"/>
        <v>0.20840774021236333</v>
      </c>
      <c r="AJ13" s="17">
        <f t="shared" si="2"/>
        <v>0.33695716178109619</v>
      </c>
      <c r="AK13" s="17">
        <f t="shared" si="2"/>
        <v>0.62581950415984156</v>
      </c>
      <c r="AL13" s="17">
        <f t="shared" si="2"/>
        <v>0.71876436742705219</v>
      </c>
      <c r="AM13" s="17">
        <f t="shared" si="2"/>
        <v>0.92693125841729707</v>
      </c>
      <c r="AN13" s="17">
        <f t="shared" si="2"/>
        <v>0.73815246021537351</v>
      </c>
      <c r="AO13" s="17">
        <f t="shared" si="2"/>
        <v>1.2919036016076133</v>
      </c>
      <c r="AP13" s="17">
        <f t="shared" si="2"/>
        <v>1.0948372422299031</v>
      </c>
      <c r="AQ13" s="3">
        <f>$B$10</f>
        <v>299711535.88531095</v>
      </c>
    </row>
    <row r="14" spans="1:43">
      <c r="A14">
        <v>2</v>
      </c>
      <c r="B14">
        <v>82</v>
      </c>
      <c r="C14">
        <v>934</v>
      </c>
      <c r="D14" s="1">
        <v>9.9399999999999992E-3</v>
      </c>
      <c r="E14" s="1">
        <v>1.017E-2</v>
      </c>
      <c r="F14">
        <f t="shared" ref="F14:F21" si="3">ABS(E14-D14)</f>
        <v>2.3000000000000104E-4</v>
      </c>
      <c r="G14" s="22">
        <f t="shared" ref="G14:G21" si="4">2*PI()*B14</f>
        <v>515.22119518872603</v>
      </c>
      <c r="H14" s="22">
        <f t="shared" ref="H14:H21" si="5">2*PI()*C14</f>
        <v>5868.4950769057332</v>
      </c>
      <c r="K14">
        <f t="shared" ref="K14:K21" si="6">((4*$B$3*(2*$B$4+$B$3-2*$B$2)*$B$2*(H14-G14))/(($B$5-$B$2)^2*F14)*$C$3)^2</f>
        <v>66016233641698.828</v>
      </c>
      <c r="L14">
        <f t="shared" ref="L14:L21" si="7">((4*$B$6*$B$2*(G14-H14)/(($B$5-$B$2)^2*F14))*$C$4)^2</f>
        <v>13393037182.036446</v>
      </c>
      <c r="M14">
        <f t="shared" ref="M14:M21" si="8">((4*$B$6*$B$5*(H14-G14)/(($B$5-$B$2)^2*F14))*$C$2)^2</f>
        <v>100934051198.81143</v>
      </c>
      <c r="O14" s="22">
        <f t="shared" ref="O14:O21" si="9">4*$B$2*$B$6*ABS(H14-G14)/(($B$5-$B$2)*F14)</f>
        <v>311981759.35506576</v>
      </c>
      <c r="P14">
        <f t="shared" ref="P14:P21" si="10">SQRT(K14+L14+M14)</f>
        <v>8132069.8921049414</v>
      </c>
      <c r="Q14" s="22">
        <f t="shared" ref="Q14:Q32" si="11">SQRT(P14^2+$O$37^2)</f>
        <v>12430453.006194077</v>
      </c>
      <c r="R14" s="2">
        <f t="shared" ref="R14:R32" si="12">Q14/O14</f>
        <v>3.9843524928798821E-2</v>
      </c>
      <c r="S14" s="2">
        <f t="shared" ref="S14:S32" si="13">(O14-$B$10)/Q14</f>
        <v>0.98710991977851326</v>
      </c>
      <c r="T14" s="36">
        <f t="shared" ref="T14:T32" si="14">S14^2</f>
        <v>0.9743859937251429</v>
      </c>
      <c r="U14" s="12">
        <v>2</v>
      </c>
      <c r="V14" s="30" t="str">
        <f t="shared" ref="V14:V31" si="15">TEXT(Q14/100000000, "0.000") &amp; "E+08"</f>
        <v>0.124E+08</v>
      </c>
      <c r="W14" s="24">
        <f t="shared" si="0"/>
        <v>283191189.13289255</v>
      </c>
      <c r="X14" s="18">
        <f t="shared" si="1"/>
        <v>1.6220361333702451</v>
      </c>
      <c r="Y14" s="19">
        <f t="shared" si="1"/>
        <v>0</v>
      </c>
      <c r="Z14" s="19">
        <f t="shared" si="1"/>
        <v>1.6472444136254651</v>
      </c>
      <c r="AA14" s="19">
        <f t="shared" si="1"/>
        <v>1.1615099889809897</v>
      </c>
      <c r="AB14" s="19">
        <f t="shared" si="1"/>
        <v>0.18082696666891579</v>
      </c>
      <c r="AC14" s="19">
        <f t="shared" si="1"/>
        <v>1.0008782373079261</v>
      </c>
      <c r="AD14" s="19">
        <f t="shared" si="1"/>
        <v>5.1208532244175098E-2</v>
      </c>
      <c r="AE14" s="19">
        <f t="shared" si="1"/>
        <v>1.1813571047211497</v>
      </c>
      <c r="AF14" s="19">
        <f t="shared" si="1"/>
        <v>7.2330786667873454E-3</v>
      </c>
      <c r="AG14" s="19">
        <f t="shared" si="1"/>
        <v>0.58119149876453846</v>
      </c>
      <c r="AH14" s="19">
        <f t="shared" si="2"/>
        <v>0.3211792639971266</v>
      </c>
      <c r="AI14" s="19">
        <f t="shared" si="2"/>
        <v>1.4574384729607122</v>
      </c>
      <c r="AJ14" s="19">
        <f t="shared" si="2"/>
        <v>1.3007171786715652</v>
      </c>
      <c r="AK14" s="19">
        <f t="shared" si="2"/>
        <v>1.0149117138267585</v>
      </c>
      <c r="AL14" s="19">
        <f t="shared" si="2"/>
        <v>0.92741545742563214</v>
      </c>
      <c r="AM14" s="19">
        <f t="shared" si="2"/>
        <v>0.71667443451851875</v>
      </c>
      <c r="AN14" s="19">
        <f t="shared" si="2"/>
        <v>0.9077876170568181</v>
      </c>
      <c r="AO14" s="19">
        <f t="shared" si="2"/>
        <v>0.34718894827787711</v>
      </c>
      <c r="AP14" s="19">
        <f t="shared" si="2"/>
        <v>0.5532689739695269</v>
      </c>
      <c r="AQ14" s="3">
        <f t="shared" ref="AQ14:AQ31" si="16">$B$10</f>
        <v>299711535.88531095</v>
      </c>
    </row>
    <row r="15" spans="1:43">
      <c r="A15">
        <v>3</v>
      </c>
      <c r="B15">
        <v>110</v>
      </c>
      <c r="C15">
        <v>917</v>
      </c>
      <c r="D15" s="1">
        <v>9.9399999999999992E-3</v>
      </c>
      <c r="E15" s="1">
        <v>1.018E-2</v>
      </c>
      <c r="F15">
        <f t="shared" si="3"/>
        <v>2.4000000000000063E-4</v>
      </c>
      <c r="G15" s="22">
        <f t="shared" si="4"/>
        <v>691.15038378975453</v>
      </c>
      <c r="H15" s="22">
        <f t="shared" si="5"/>
        <v>5761.6809266836808</v>
      </c>
      <c r="K15">
        <f t="shared" si="6"/>
        <v>54394102066771.164</v>
      </c>
      <c r="L15">
        <f t="shared" si="7"/>
        <v>11035198333.453497</v>
      </c>
      <c r="M15">
        <f t="shared" si="8"/>
        <v>83164651784.26944</v>
      </c>
      <c r="O15" s="22">
        <f t="shared" si="9"/>
        <v>283191189.13289255</v>
      </c>
      <c r="P15">
        <f t="shared" si="10"/>
        <v>7381619.1934350608</v>
      </c>
      <c r="Q15" s="22">
        <f t="shared" si="11"/>
        <v>11952987.205130296</v>
      </c>
      <c r="R15" s="2">
        <f t="shared" si="12"/>
        <v>4.2208188897858476E-2</v>
      </c>
      <c r="S15" s="2">
        <f t="shared" si="13"/>
        <v>-1.3821103017099996</v>
      </c>
      <c r="T15" s="36">
        <f t="shared" si="14"/>
        <v>1.9102288860929062</v>
      </c>
      <c r="U15" s="12">
        <v>3</v>
      </c>
      <c r="V15" s="30" t="str">
        <f t="shared" si="15"/>
        <v>0.120E+08</v>
      </c>
      <c r="W15" s="24">
        <f t="shared" si="0"/>
        <v>311615583.58117723</v>
      </c>
      <c r="X15" s="20">
        <f t="shared" si="1"/>
        <v>2.0957202926249481E-2</v>
      </c>
      <c r="Y15" s="21">
        <f t="shared" si="1"/>
        <v>1.6472444136254651</v>
      </c>
      <c r="Z15" s="21">
        <f t="shared" si="1"/>
        <v>0</v>
      </c>
      <c r="AA15" s="21">
        <f t="shared" si="1"/>
        <v>0.46685187890187424</v>
      </c>
      <c r="AB15" s="21">
        <f t="shared" si="1"/>
        <v>1.4703283425211569</v>
      </c>
      <c r="AC15" s="21">
        <f t="shared" si="1"/>
        <v>0.65722724138119715</v>
      </c>
      <c r="AD15" s="21">
        <f t="shared" si="1"/>
        <v>1.6089695413779321</v>
      </c>
      <c r="AE15" s="21">
        <f t="shared" si="1"/>
        <v>0.47371573891773328</v>
      </c>
      <c r="AF15" s="21">
        <f t="shared" si="1"/>
        <v>1.6467677436235926</v>
      </c>
      <c r="AG15" s="21">
        <f t="shared" si="1"/>
        <v>1.0839660893026519</v>
      </c>
      <c r="AH15" s="21">
        <f t="shared" si="2"/>
        <v>1.3414275502414126</v>
      </c>
      <c r="AI15" s="21">
        <f t="shared" si="2"/>
        <v>0.1929953010405904</v>
      </c>
      <c r="AJ15" s="21">
        <f t="shared" si="2"/>
        <v>0.32538161256799097</v>
      </c>
      <c r="AK15" s="21">
        <f t="shared" si="2"/>
        <v>0.62257146034681576</v>
      </c>
      <c r="AL15" s="21">
        <f t="shared" si="2"/>
        <v>0.71828083818582023</v>
      </c>
      <c r="AM15" s="21">
        <f t="shared" si="2"/>
        <v>0.93250494782024651</v>
      </c>
      <c r="AN15" s="21">
        <f t="shared" si="2"/>
        <v>0.73823308369100193</v>
      </c>
      <c r="AO15" s="21">
        <f t="shared" si="2"/>
        <v>1.3080972184700479</v>
      </c>
      <c r="AP15" s="21">
        <f t="shared" si="2"/>
        <v>1.105470072567327</v>
      </c>
      <c r="AQ15" s="3">
        <f t="shared" si="16"/>
        <v>299711535.88531095</v>
      </c>
    </row>
    <row r="16" spans="1:43">
      <c r="A16">
        <v>4</v>
      </c>
      <c r="B16">
        <v>108</v>
      </c>
      <c r="C16">
        <v>959</v>
      </c>
      <c r="D16" s="1">
        <v>9.9500000000000005E-3</v>
      </c>
      <c r="E16" s="1">
        <v>1.018E-2</v>
      </c>
      <c r="F16">
        <f t="shared" si="3"/>
        <v>2.299999999999993E-4</v>
      </c>
      <c r="G16" s="22">
        <f t="shared" si="4"/>
        <v>678.58401317539528</v>
      </c>
      <c r="H16" s="22">
        <f t="shared" si="5"/>
        <v>6025.574709585223</v>
      </c>
      <c r="K16">
        <f t="shared" si="6"/>
        <v>65861356900571.813</v>
      </c>
      <c r="L16">
        <f t="shared" si="7"/>
        <v>13361616577.768038</v>
      </c>
      <c r="M16">
        <f t="shared" si="8"/>
        <v>100697255852.33253</v>
      </c>
      <c r="O16" s="22">
        <f t="shared" si="9"/>
        <v>311615583.58117723</v>
      </c>
      <c r="P16">
        <f t="shared" si="10"/>
        <v>8122525.2091330513</v>
      </c>
      <c r="Q16" s="22">
        <f t="shared" si="11"/>
        <v>12424210.919898359</v>
      </c>
      <c r="R16" s="2">
        <f>Q16/O16</f>
        <v>3.9870313214492359E-2</v>
      </c>
      <c r="S16" s="2">
        <f t="shared" si="13"/>
        <v>0.95813309775681688</v>
      </c>
      <c r="T16" s="36">
        <f t="shared" si="14"/>
        <v>0.91801903301707399</v>
      </c>
      <c r="U16" s="12">
        <v>4</v>
      </c>
      <c r="V16" s="30" t="str">
        <f t="shared" si="15"/>
        <v>0.124E+08</v>
      </c>
      <c r="W16" s="24">
        <f t="shared" si="0"/>
        <v>303559716.55557692</v>
      </c>
      <c r="X16" s="18">
        <f t="shared" si="1"/>
        <v>0.47449069720198223</v>
      </c>
      <c r="Y16" s="19">
        <f t="shared" si="1"/>
        <v>1.1615099889809897</v>
      </c>
      <c r="Z16" s="19">
        <f t="shared" si="1"/>
        <v>0.46685187890187424</v>
      </c>
      <c r="AA16" s="19">
        <f t="shared" si="1"/>
        <v>0</v>
      </c>
      <c r="AB16" s="19">
        <f t="shared" si="1"/>
        <v>0.98537593431222459</v>
      </c>
      <c r="AC16" s="19">
        <f t="shared" si="1"/>
        <v>0.17951429741566474</v>
      </c>
      <c r="AD16" s="19">
        <f t="shared" si="1"/>
        <v>1.1197059303363566</v>
      </c>
      <c r="AE16" s="19">
        <f t="shared" si="1"/>
        <v>9.6456999755887781E-4</v>
      </c>
      <c r="AF16" s="19">
        <f t="shared" si="1"/>
        <v>1.158969822314353</v>
      </c>
      <c r="AG16" s="19">
        <f t="shared" si="1"/>
        <v>0.59920103595905239</v>
      </c>
      <c r="AH16" s="19">
        <f t="shared" si="2"/>
        <v>0.85446516297257058</v>
      </c>
      <c r="AI16" s="19">
        <f t="shared" si="2"/>
        <v>0.27704593823712131</v>
      </c>
      <c r="AJ16" s="19">
        <f t="shared" si="2"/>
        <v>0.13920718969057574</v>
      </c>
      <c r="AK16" s="19">
        <f t="shared" si="2"/>
        <v>0.15129118715438203</v>
      </c>
      <c r="AL16" s="19">
        <f t="shared" si="2"/>
        <v>0.2434990051548995</v>
      </c>
      <c r="AM16" s="19">
        <f t="shared" si="2"/>
        <v>0.45424002806201291</v>
      </c>
      <c r="AN16" s="19">
        <f t="shared" si="2"/>
        <v>0.26312684552371357</v>
      </c>
      <c r="AO16" s="19">
        <f t="shared" si="2"/>
        <v>0.8237255143026545</v>
      </c>
      <c r="AP16" s="19">
        <f t="shared" si="2"/>
        <v>0.62237545300017028</v>
      </c>
      <c r="AQ16" s="3">
        <f t="shared" si="16"/>
        <v>299711535.88531095</v>
      </c>
    </row>
    <row r="17" spans="1:43">
      <c r="A17">
        <v>5</v>
      </c>
      <c r="B17">
        <v>100</v>
      </c>
      <c r="C17">
        <v>929</v>
      </c>
      <c r="D17" s="1">
        <v>9.9500000000000005E-3</v>
      </c>
      <c r="E17" s="1">
        <v>1.018E-2</v>
      </c>
      <c r="F17">
        <f t="shared" si="3"/>
        <v>2.299999999999993E-4</v>
      </c>
      <c r="G17" s="22">
        <f t="shared" si="4"/>
        <v>628.31853071795865</v>
      </c>
      <c r="H17" s="22">
        <f t="shared" si="5"/>
        <v>5837.0791503698356</v>
      </c>
      <c r="K17">
        <f t="shared" si="6"/>
        <v>62500085995056.43</v>
      </c>
      <c r="L17">
        <f t="shared" si="7"/>
        <v>12679699059.407379</v>
      </c>
      <c r="M17">
        <f t="shared" si="8"/>
        <v>95558115508.281296</v>
      </c>
      <c r="O17" s="22">
        <f t="shared" si="9"/>
        <v>303559716.55557692</v>
      </c>
      <c r="P17">
        <f t="shared" si="10"/>
        <v>7912542.1837500567</v>
      </c>
      <c r="Q17" s="22">
        <f t="shared" si="11"/>
        <v>12287958.53747659</v>
      </c>
      <c r="R17" s="2">
        <f t="shared" si="12"/>
        <v>4.0479542796077364E-2</v>
      </c>
      <c r="S17" s="2">
        <f t="shared" si="13"/>
        <v>0.31316680134698932</v>
      </c>
      <c r="T17" s="36">
        <f t="shared" si="14"/>
        <v>9.8073445465904671E-2</v>
      </c>
      <c r="U17" s="12">
        <v>5</v>
      </c>
      <c r="V17" s="30" t="str">
        <f t="shared" si="15"/>
        <v>0.123E+08</v>
      </c>
      <c r="W17" s="24">
        <f t="shared" si="0"/>
        <v>286349455.18270081</v>
      </c>
      <c r="X17" s="20">
        <f t="shared" si="1"/>
        <v>1.4497965257371583</v>
      </c>
      <c r="Y17" s="21">
        <f t="shared" si="1"/>
        <v>0.18082696666891579</v>
      </c>
      <c r="Z17" s="21">
        <f t="shared" si="1"/>
        <v>1.4703283425211569</v>
      </c>
      <c r="AA17" s="21">
        <f t="shared" si="1"/>
        <v>0.98537593431222459</v>
      </c>
      <c r="AB17" s="21">
        <f t="shared" si="1"/>
        <v>0</v>
      </c>
      <c r="AC17" s="21">
        <f t="shared" si="1"/>
        <v>0.82126447960640203</v>
      </c>
      <c r="AD17" s="21">
        <f t="shared" si="1"/>
        <v>0.13088426305251818</v>
      </c>
      <c r="AE17" s="21">
        <f t="shared" si="1"/>
        <v>1.0024965971733932</v>
      </c>
      <c r="AF17" s="21">
        <f t="shared" si="1"/>
        <v>0.17430098268177785</v>
      </c>
      <c r="AG17" s="21">
        <f t="shared" si="1"/>
        <v>0.3998261282294841</v>
      </c>
      <c r="AH17" s="21">
        <f t="shared" si="2"/>
        <v>0.13946331448450991</v>
      </c>
      <c r="AI17" s="21">
        <f t="shared" si="2"/>
        <v>1.2797302240461101</v>
      </c>
      <c r="AJ17" s="21">
        <f t="shared" si="2"/>
        <v>1.1251455703848408</v>
      </c>
      <c r="AK17" s="21">
        <f t="shared" si="2"/>
        <v>0.83748219907207588</v>
      </c>
      <c r="AL17" s="21">
        <f t="shared" si="2"/>
        <v>0.74892076387597373</v>
      </c>
      <c r="AM17" s="21">
        <f t="shared" si="2"/>
        <v>0.53731434305781678</v>
      </c>
      <c r="AN17" s="21">
        <f t="shared" si="2"/>
        <v>0.72921232272132708</v>
      </c>
      <c r="AO17" s="21">
        <f t="shared" si="2"/>
        <v>0.1663115823751006</v>
      </c>
      <c r="AP17" s="21">
        <f t="shared" si="2"/>
        <v>0.3725138531625854</v>
      </c>
      <c r="AQ17" s="3">
        <f t="shared" si="16"/>
        <v>299711535.88531095</v>
      </c>
    </row>
    <row r="18" spans="1:43">
      <c r="A18">
        <v>6</v>
      </c>
      <c r="B18">
        <v>118</v>
      </c>
      <c r="C18">
        <v>1002</v>
      </c>
      <c r="D18" s="1">
        <v>9.9399999999999992E-3</v>
      </c>
      <c r="E18" s="1">
        <v>1.0200000000000001E-2</v>
      </c>
      <c r="F18">
        <f t="shared" si="3"/>
        <v>2.6000000000000155E-4</v>
      </c>
      <c r="G18" s="22">
        <f t="shared" si="4"/>
        <v>741.41586624719116</v>
      </c>
      <c r="H18" s="22">
        <f t="shared" si="5"/>
        <v>6295.7516777939454</v>
      </c>
      <c r="K18">
        <f t="shared" si="6"/>
        <v>55614118756069.852</v>
      </c>
      <c r="L18">
        <f t="shared" si="7"/>
        <v>11282709104.382448</v>
      </c>
      <c r="M18">
        <f t="shared" si="8"/>
        <v>85029969149.228851</v>
      </c>
      <c r="O18" s="22">
        <f t="shared" si="9"/>
        <v>286349455.18270081</v>
      </c>
      <c r="P18">
        <f t="shared" si="10"/>
        <v>7463942.0840681409</v>
      </c>
      <c r="Q18" s="22">
        <f t="shared" si="11"/>
        <v>12004000.693245696</v>
      </c>
      <c r="R18" s="2">
        <f t="shared" si="12"/>
        <v>4.1920808564440012E-2</v>
      </c>
      <c r="S18" s="2">
        <f t="shared" si="13"/>
        <v>-1.1131356157059031</v>
      </c>
      <c r="T18" s="36">
        <f t="shared" si="14"/>
        <v>1.23907089895296</v>
      </c>
      <c r="U18" s="12">
        <v>6</v>
      </c>
      <c r="V18" s="30" t="str">
        <f t="shared" si="15"/>
        <v>0.120E+08</v>
      </c>
      <c r="W18" s="24">
        <f t="shared" si="0"/>
        <v>300462067.44130909</v>
      </c>
      <c r="X18" s="18">
        <f t="shared" si="1"/>
        <v>0.65930227584626411</v>
      </c>
      <c r="Y18" s="19">
        <f t="shared" si="1"/>
        <v>1.0008782373079261</v>
      </c>
      <c r="Z18" s="19">
        <f t="shared" si="1"/>
        <v>0.65722724138119715</v>
      </c>
      <c r="AA18" s="19">
        <f t="shared" si="1"/>
        <v>0.17951429741566474</v>
      </c>
      <c r="AB18" s="19">
        <f t="shared" si="1"/>
        <v>0.82126447960640203</v>
      </c>
      <c r="AC18" s="19">
        <f t="shared" si="1"/>
        <v>0</v>
      </c>
      <c r="AD18" s="19">
        <f t="shared" si="1"/>
        <v>0.95719618820923924</v>
      </c>
      <c r="AE18" s="19">
        <f t="shared" si="1"/>
        <v>0.1835115024634639</v>
      </c>
      <c r="AF18" s="19">
        <f t="shared" si="1"/>
        <v>0.99770388070883764</v>
      </c>
      <c r="AG18" s="19">
        <f t="shared" si="1"/>
        <v>0.42673884792145467</v>
      </c>
      <c r="AH18" s="19">
        <f t="shared" si="2"/>
        <v>0.68693302715063453</v>
      </c>
      <c r="AI18" s="19">
        <f t="shared" si="2"/>
        <v>0.46423194034060677</v>
      </c>
      <c r="AJ18" s="19">
        <f t="shared" si="2"/>
        <v>0.32098456374954804</v>
      </c>
      <c r="AK18" s="19">
        <f t="shared" si="2"/>
        <v>2.6492402567939055E-2</v>
      </c>
      <c r="AL18" s="19">
        <f t="shared" si="2"/>
        <v>6.6507485017127208E-2</v>
      </c>
      <c r="AM18" s="19">
        <f t="shared" si="2"/>
        <v>0.28073159465155351</v>
      </c>
      <c r="AN18" s="19">
        <f t="shared" si="2"/>
        <v>8.6459730522308903E-2</v>
      </c>
      <c r="AO18" s="19">
        <f t="shared" si="2"/>
        <v>0.65632386530135478</v>
      </c>
      <c r="AP18" s="19">
        <f t="shared" si="2"/>
        <v>0.45097554947654911</v>
      </c>
      <c r="AQ18" s="3">
        <f t="shared" si="16"/>
        <v>299711535.88531095</v>
      </c>
    </row>
    <row r="19" spans="1:43">
      <c r="A19">
        <v>7</v>
      </c>
      <c r="B19">
        <v>115</v>
      </c>
      <c r="C19">
        <v>1435</v>
      </c>
      <c r="D19" s="1">
        <v>9.9399999999999992E-3</v>
      </c>
      <c r="E19" s="1">
        <v>1.031E-2</v>
      </c>
      <c r="F19">
        <f t="shared" si="3"/>
        <v>3.7000000000000054E-4</v>
      </c>
      <c r="G19" s="22">
        <f t="shared" si="4"/>
        <v>722.56631032565247</v>
      </c>
      <c r="H19" s="22">
        <f t="shared" si="5"/>
        <v>9016.3709158027068</v>
      </c>
      <c r="K19">
        <f t="shared" si="6"/>
        <v>61231040590192.242</v>
      </c>
      <c r="L19">
        <f t="shared" si="7"/>
        <v>12422241592.42606</v>
      </c>
      <c r="M19">
        <f t="shared" si="8"/>
        <v>93617836779.819122</v>
      </c>
      <c r="O19" s="22">
        <f t="shared" si="9"/>
        <v>300462067.44130909</v>
      </c>
      <c r="P19">
        <f t="shared" si="10"/>
        <v>7831799.3250953825</v>
      </c>
      <c r="Q19" s="22">
        <f t="shared" si="11"/>
        <v>12236122.011392506</v>
      </c>
      <c r="R19" s="2">
        <f t="shared" si="12"/>
        <v>4.0724348719269381E-2</v>
      </c>
      <c r="S19" s="2">
        <f t="shared" si="13"/>
        <v>6.133737104773556E-2</v>
      </c>
      <c r="T19" s="36">
        <f t="shared" si="14"/>
        <v>3.7622730870475883E-3</v>
      </c>
      <c r="U19" s="12">
        <v>7</v>
      </c>
      <c r="V19" s="30" t="str">
        <f t="shared" si="15"/>
        <v>0.122E+08</v>
      </c>
      <c r="W19" s="24">
        <f t="shared" si="0"/>
        <v>284081982.12129939</v>
      </c>
      <c r="X19" s="20">
        <f t="shared" si="1"/>
        <v>1.5842687147203638</v>
      </c>
      <c r="Y19" s="21">
        <f t="shared" si="1"/>
        <v>5.1208532244175098E-2</v>
      </c>
      <c r="Z19" s="21">
        <f t="shared" si="1"/>
        <v>1.6089695413779321</v>
      </c>
      <c r="AA19" s="21">
        <f t="shared" si="1"/>
        <v>1.1197059303363566</v>
      </c>
      <c r="AB19" s="21">
        <f t="shared" si="1"/>
        <v>0.13088426305251818</v>
      </c>
      <c r="AC19" s="21">
        <f t="shared" si="1"/>
        <v>0.95719618820923924</v>
      </c>
      <c r="AD19" s="21">
        <f t="shared" si="1"/>
        <v>0</v>
      </c>
      <c r="AE19" s="21">
        <f t="shared" si="1"/>
        <v>1.1391848517562257</v>
      </c>
      <c r="AF19" s="21">
        <f t="shared" si="1"/>
        <v>4.41266944004843E-2</v>
      </c>
      <c r="AG19" s="21">
        <f t="shared" si="1"/>
        <v>0.53399855986292777</v>
      </c>
      <c r="AH19" s="21">
        <f t="shared" si="2"/>
        <v>0.27200223761901676</v>
      </c>
      <c r="AI19" s="21">
        <f t="shared" si="2"/>
        <v>1.417575778939427</v>
      </c>
      <c r="AJ19" s="21">
        <f t="shared" si="2"/>
        <v>1.2600402479489745</v>
      </c>
      <c r="AK19" s="21">
        <f t="shared" si="2"/>
        <v>0.9717777523166663</v>
      </c>
      <c r="AL19" s="21">
        <f t="shared" si="2"/>
        <v>0.88341814389535045</v>
      </c>
      <c r="AM19" s="21">
        <f t="shared" si="2"/>
        <v>0.67094271377859516</v>
      </c>
      <c r="AN19" s="21">
        <f t="shared" si="2"/>
        <v>0.86362876560014801</v>
      </c>
      <c r="AO19" s="21">
        <f t="shared" si="2"/>
        <v>0.29841634692366409</v>
      </c>
      <c r="AP19" s="21">
        <f t="shared" si="2"/>
        <v>0.50601771146428776</v>
      </c>
      <c r="AQ19" s="3">
        <f t="shared" si="16"/>
        <v>299711535.88531095</v>
      </c>
    </row>
    <row r="20" spans="1:43">
      <c r="A20">
        <v>8</v>
      </c>
      <c r="B20">
        <v>100</v>
      </c>
      <c r="C20">
        <v>977</v>
      </c>
      <c r="D20" s="1">
        <v>9.9399999999999992E-3</v>
      </c>
      <c r="E20" s="1">
        <v>1.0200000000000001E-2</v>
      </c>
      <c r="F20">
        <f t="shared" si="3"/>
        <v>2.6000000000000155E-4</v>
      </c>
      <c r="G20" s="22">
        <f t="shared" si="4"/>
        <v>628.31853071795865</v>
      </c>
      <c r="H20" s="22">
        <f t="shared" si="5"/>
        <v>6138.6720451144556</v>
      </c>
      <c r="K20">
        <f t="shared" si="6"/>
        <v>54736839367459.281</v>
      </c>
      <c r="L20">
        <f t="shared" si="7"/>
        <v>11104731131.048412</v>
      </c>
      <c r="M20">
        <f t="shared" si="8"/>
        <v>83688672352.348969</v>
      </c>
      <c r="O20" s="22">
        <f t="shared" si="9"/>
        <v>284081982.12129939</v>
      </c>
      <c r="P20">
        <f t="shared" si="10"/>
        <v>7404838.470280272</v>
      </c>
      <c r="Q20" s="22">
        <f t="shared" si="11"/>
        <v>11967340.305183202</v>
      </c>
      <c r="R20" s="2">
        <f t="shared" si="12"/>
        <v>4.212636160808432E-2</v>
      </c>
      <c r="S20" s="2">
        <f t="shared" si="13"/>
        <v>-1.306017324270641</v>
      </c>
      <c r="T20" s="36">
        <f t="shared" si="14"/>
        <v>1.7056812512950446</v>
      </c>
      <c r="U20" s="12">
        <v>8</v>
      </c>
      <c r="V20" s="30" t="str">
        <f t="shared" si="15"/>
        <v>0.120E+08</v>
      </c>
      <c r="W20" s="24">
        <f t="shared" si="0"/>
        <v>303576360.90893263</v>
      </c>
      <c r="X20" s="18">
        <f t="shared" si="1"/>
        <v>0.48106306717390629</v>
      </c>
      <c r="Y20" s="19">
        <f t="shared" si="1"/>
        <v>1.1813571047211497</v>
      </c>
      <c r="Z20" s="19">
        <f t="shared" si="1"/>
        <v>0.47371573891773328</v>
      </c>
      <c r="AA20" s="19">
        <f t="shared" si="1"/>
        <v>9.6456999755887781E-4</v>
      </c>
      <c r="AB20" s="19">
        <f t="shared" si="1"/>
        <v>1.0024965971733932</v>
      </c>
      <c r="AC20" s="19">
        <f t="shared" si="1"/>
        <v>0.1835115024634639</v>
      </c>
      <c r="AD20" s="19">
        <f t="shared" si="1"/>
        <v>1.1391848517562257</v>
      </c>
      <c r="AE20" s="19">
        <f t="shared" si="1"/>
        <v>0</v>
      </c>
      <c r="AF20" s="19">
        <f t="shared" si="1"/>
        <v>1.1789359982758287</v>
      </c>
      <c r="AG20" s="19">
        <f t="shared" si="1"/>
        <v>0.61025035038491859</v>
      </c>
      <c r="AH20" s="19">
        <f t="shared" si="2"/>
        <v>0.86968149788365723</v>
      </c>
      <c r="AI20" s="19">
        <f t="shared" si="2"/>
        <v>0.2807204378771429</v>
      </c>
      <c r="AJ20" s="19">
        <f t="shared" si="2"/>
        <v>0.1405056963363244</v>
      </c>
      <c r="AK20" s="19">
        <f t="shared" si="2"/>
        <v>0.15473971499905215</v>
      </c>
      <c r="AL20" s="19">
        <f t="shared" si="2"/>
        <v>0.24849614856411364</v>
      </c>
      <c r="AM20" s="19">
        <f t="shared" si="2"/>
        <v>0.4627202581985399</v>
      </c>
      <c r="AN20" s="19">
        <f t="shared" si="2"/>
        <v>0.26844839406929533</v>
      </c>
      <c r="AO20" s="19">
        <f t="shared" si="2"/>
        <v>0.83831252884834129</v>
      </c>
      <c r="AP20" s="19">
        <f t="shared" si="2"/>
        <v>0.63372402020957175</v>
      </c>
      <c r="AQ20" s="3">
        <f t="shared" si="16"/>
        <v>299711535.88531095</v>
      </c>
    </row>
    <row r="21" spans="1:43">
      <c r="A21">
        <v>9</v>
      </c>
      <c r="B21">
        <v>107</v>
      </c>
      <c r="C21">
        <v>900</v>
      </c>
      <c r="D21" s="1">
        <v>9.9399999999999992E-3</v>
      </c>
      <c r="E21" s="1">
        <v>1.0160000000000001E-2</v>
      </c>
      <c r="F21">
        <f t="shared" si="3"/>
        <v>2.2000000000000144E-4</v>
      </c>
      <c r="G21" s="22">
        <f t="shared" si="4"/>
        <v>672.30082786821572</v>
      </c>
      <c r="H21" s="22">
        <f t="shared" si="5"/>
        <v>5654.8667764616275</v>
      </c>
      <c r="K21">
        <f t="shared" si="6"/>
        <v>62506940014076.258</v>
      </c>
      <c r="L21">
        <f t="shared" si="7"/>
        <v>12681089567.870451</v>
      </c>
      <c r="M21">
        <f t="shared" si="8"/>
        <v>95568594808.121704</v>
      </c>
      <c r="O21" s="22">
        <f t="shared" si="9"/>
        <v>303576360.90893263</v>
      </c>
      <c r="P21">
        <f t="shared" si="10"/>
        <v>7912976.0329759782</v>
      </c>
      <c r="Q21" s="22">
        <f t="shared" si="11"/>
        <v>12288237.908975067</v>
      </c>
      <c r="R21" s="2">
        <f t="shared" si="12"/>
        <v>4.0478243668851784E-2</v>
      </c>
      <c r="S21" s="2">
        <f t="shared" si="13"/>
        <v>0.31451417625946942</v>
      </c>
      <c r="T21" s="36">
        <f t="shared" si="14"/>
        <v>9.8919167068172595E-2</v>
      </c>
      <c r="U21" s="12">
        <v>9</v>
      </c>
      <c r="V21" s="30" t="str">
        <f t="shared" si="15"/>
        <v>0.123E+08</v>
      </c>
      <c r="W21" s="24">
        <f t="shared" si="0"/>
        <v>283317519.77488542</v>
      </c>
      <c r="X21" s="20">
        <f t="shared" si="1"/>
        <v>1.6212867433528411</v>
      </c>
      <c r="Y21" s="21">
        <f t="shared" si="1"/>
        <v>7.2330786667873454E-3</v>
      </c>
      <c r="Z21" s="21">
        <f t="shared" si="1"/>
        <v>1.6467677436235926</v>
      </c>
      <c r="AA21" s="21">
        <f t="shared" si="1"/>
        <v>1.158969822314353</v>
      </c>
      <c r="AB21" s="21">
        <f t="shared" si="1"/>
        <v>0.17430098268177785</v>
      </c>
      <c r="AC21" s="21">
        <f t="shared" si="1"/>
        <v>0.99770388070883764</v>
      </c>
      <c r="AD21" s="21">
        <f t="shared" si="1"/>
        <v>4.41266944004843E-2</v>
      </c>
      <c r="AE21" s="21">
        <f t="shared" si="1"/>
        <v>1.1789359982758287</v>
      </c>
      <c r="AF21" s="21">
        <f t="shared" si="1"/>
        <v>0</v>
      </c>
      <c r="AG21" s="21">
        <f t="shared" si="1"/>
        <v>0.57626552933191966</v>
      </c>
      <c r="AH21" s="21">
        <f t="shared" si="2"/>
        <v>0.31518709073487011</v>
      </c>
      <c r="AI21" s="21">
        <f t="shared" si="2"/>
        <v>1.4561696251485456</v>
      </c>
      <c r="AJ21" s="21">
        <f t="shared" si="2"/>
        <v>1.2987394583869694</v>
      </c>
      <c r="AK21" s="21">
        <f t="shared" si="2"/>
        <v>1.0117831817538538</v>
      </c>
      <c r="AL21" s="21">
        <f t="shared" si="2"/>
        <v>0.92393172132897627</v>
      </c>
      <c r="AM21" s="21">
        <f t="shared" si="2"/>
        <v>0.71232530051081921</v>
      </c>
      <c r="AN21" s="21">
        <f t="shared" si="2"/>
        <v>0.90422328017432962</v>
      </c>
      <c r="AO21" s="21">
        <f t="shared" si="2"/>
        <v>0.34132253982810312</v>
      </c>
      <c r="AP21" s="21">
        <f t="shared" si="2"/>
        <v>0.54823762941294563</v>
      </c>
      <c r="AQ21" s="3">
        <f t="shared" si="16"/>
        <v>299711535.88531095</v>
      </c>
    </row>
    <row r="22" spans="1:43">
      <c r="A22">
        <v>10</v>
      </c>
      <c r="B22">
        <v>109</v>
      </c>
      <c r="C22">
        <v>950</v>
      </c>
      <c r="D22" s="1">
        <v>9.9399999999999992E-3</v>
      </c>
      <c r="E22" s="1">
        <v>1.0189999999999999E-2</v>
      </c>
      <c r="F22">
        <f t="shared" ref="F22:F32" si="17">ABS(E22-D22)</f>
        <v>2.5000000000000022E-4</v>
      </c>
      <c r="G22" s="22">
        <f t="shared" ref="G22:G32" si="18">2*PI()*B22</f>
        <v>684.86719848257485</v>
      </c>
      <c r="H22" s="22">
        <f t="shared" ref="H22:H32" si="19">2*PI()*C22</f>
        <v>5969.0260418206071</v>
      </c>
      <c r="K22">
        <f t="shared" ref="K22:K32" si="20">((4*$B$3*(2*$B$4+$B$3-2*$B$2)*$B$2*(H22-G22))/(($B$5-$B$2)^2*F22)*$C$3)^2</f>
        <v>54442642945207.234</v>
      </c>
      <c r="L22">
        <f t="shared" ref="L22:L32" si="21">((4*$B$6*$B$2*(G22-H22)/(($B$5-$B$2)^2*F22))*$C$4)^2</f>
        <v>11045046059.594187</v>
      </c>
      <c r="M22">
        <f t="shared" ref="M22:M32" si="22">((4*$B$6*$B$5*(H22-G22)/(($B$5-$B$2)^2*F22))*$C$2)^2</f>
        <v>83238867280.050262</v>
      </c>
      <c r="O22" s="22">
        <f t="shared" ref="O22:O32" si="23">4*$B$2*$B$6*ABS(H22-G22)/(($B$5-$B$2)*F22)</f>
        <v>283317519.77488542</v>
      </c>
      <c r="P22">
        <f t="shared" ref="P22:P32" si="24">SQRT(K22+L22+M22)</f>
        <v>7384912.1090603964</v>
      </c>
      <c r="Q22" s="22">
        <f t="shared" si="11"/>
        <v>11955021.040034458</v>
      </c>
      <c r="R22" s="2">
        <f t="shared" si="12"/>
        <v>4.2196547003282805E-2</v>
      </c>
      <c r="S22" s="2">
        <f t="shared" si="13"/>
        <v>-1.371308009875178</v>
      </c>
      <c r="T22" s="36">
        <f t="shared" si="14"/>
        <v>1.8804856579478213</v>
      </c>
      <c r="U22" s="12">
        <v>10</v>
      </c>
      <c r="V22" s="30" t="str">
        <f t="shared" si="15"/>
        <v>0.120E+08</v>
      </c>
      <c r="W22" s="24">
        <f t="shared" si="0"/>
        <v>293220069.0454452</v>
      </c>
      <c r="X22" s="18">
        <f t="shared" si="1"/>
        <v>1.0737808973071568</v>
      </c>
      <c r="Y22" s="19">
        <f t="shared" si="1"/>
        <v>0.58119149876453846</v>
      </c>
      <c r="Z22" s="19">
        <f t="shared" si="1"/>
        <v>1.0839660893026519</v>
      </c>
      <c r="AA22" s="19">
        <f t="shared" si="1"/>
        <v>0.59920103595905239</v>
      </c>
      <c r="AB22" s="19">
        <f t="shared" si="1"/>
        <v>0.3998261282294841</v>
      </c>
      <c r="AC22" s="19">
        <f t="shared" si="1"/>
        <v>0.42673884792145467</v>
      </c>
      <c r="AD22" s="19">
        <f t="shared" si="1"/>
        <v>0.53399855986292777</v>
      </c>
      <c r="AE22" s="19">
        <f t="shared" si="1"/>
        <v>0.61025035038491859</v>
      </c>
      <c r="AF22" s="19">
        <f t="shared" si="1"/>
        <v>0.57626552933191966</v>
      </c>
      <c r="AG22" s="19">
        <f t="shared" si="1"/>
        <v>0</v>
      </c>
      <c r="AH22" s="19">
        <f t="shared" si="2"/>
        <v>0.26196853820507487</v>
      </c>
      <c r="AI22" s="19">
        <f t="shared" si="2"/>
        <v>0.89097078826206144</v>
      </c>
      <c r="AJ22" s="19">
        <f t="shared" si="2"/>
        <v>0.74067130229293565</v>
      </c>
      <c r="AK22" s="19">
        <f t="shared" si="2"/>
        <v>0.44793075394485699</v>
      </c>
      <c r="AL22" s="19">
        <f t="shared" si="2"/>
        <v>0.35669014332918425</v>
      </c>
      <c r="AM22" s="19">
        <f t="shared" si="2"/>
        <v>0.14246603369475799</v>
      </c>
      <c r="AN22" s="19">
        <f t="shared" si="2"/>
        <v>0.3367378978240026</v>
      </c>
      <c r="AO22" s="19">
        <f t="shared" si="2"/>
        <v>0.23312623695504334</v>
      </c>
      <c r="AP22" s="19">
        <f t="shared" si="2"/>
        <v>2.6011060530989429E-2</v>
      </c>
      <c r="AQ22" s="3">
        <f t="shared" si="16"/>
        <v>299711535.88531095</v>
      </c>
    </row>
    <row r="23" spans="1:43">
      <c r="A23">
        <v>11</v>
      </c>
      <c r="B23">
        <v>119</v>
      </c>
      <c r="C23">
        <v>1442</v>
      </c>
      <c r="D23" s="1">
        <v>9.9500000000000005E-3</v>
      </c>
      <c r="E23" s="1">
        <v>1.0330000000000001E-2</v>
      </c>
      <c r="F23">
        <f t="shared" si="17"/>
        <v>3.8000000000000013E-4</v>
      </c>
      <c r="G23" s="22">
        <f t="shared" si="18"/>
        <v>747.69905155437073</v>
      </c>
      <c r="H23" s="22">
        <f t="shared" si="19"/>
        <v>9060.3532129529631</v>
      </c>
      <c r="K23">
        <f t="shared" si="20"/>
        <v>58314924941886.984</v>
      </c>
      <c r="L23">
        <f t="shared" si="21"/>
        <v>11830634904.943039</v>
      </c>
      <c r="M23">
        <f t="shared" si="22"/>
        <v>89159306659.10376</v>
      </c>
      <c r="O23" s="22">
        <f t="shared" si="23"/>
        <v>293220069.0454452</v>
      </c>
      <c r="P23">
        <f t="shared" si="24"/>
        <v>7643030.4777261633</v>
      </c>
      <c r="Q23" s="22">
        <f t="shared" si="11"/>
        <v>12116167.549706908</v>
      </c>
      <c r="R23" s="2">
        <f t="shared" si="12"/>
        <v>4.1321071880073335E-2</v>
      </c>
      <c r="S23" s="2">
        <f t="shared" si="13"/>
        <v>-0.53576898909942638</v>
      </c>
      <c r="T23" s="36">
        <f t="shared" si="14"/>
        <v>0.28704840968062129</v>
      </c>
      <c r="U23" s="12">
        <v>11</v>
      </c>
      <c r="V23" s="30" t="str">
        <f t="shared" si="15"/>
        <v>0.121E+08</v>
      </c>
      <c r="W23" s="24">
        <f t="shared" si="0"/>
        <v>288755753.12541312</v>
      </c>
      <c r="X23" s="20">
        <f t="shared" ref="X23:AG31" si="25">ABS(($W23-X$12)/SQRT($V23^2+X$11^2))</f>
        <v>1.324069525546844</v>
      </c>
      <c r="Y23" s="21">
        <f t="shared" si="25"/>
        <v>0.3211792639971266</v>
      </c>
      <c r="Z23" s="21">
        <f t="shared" si="25"/>
        <v>1.3414275502414126</v>
      </c>
      <c r="AA23" s="21">
        <f t="shared" si="25"/>
        <v>0.85446516297257058</v>
      </c>
      <c r="AB23" s="21">
        <f t="shared" si="25"/>
        <v>0.13946331448450991</v>
      </c>
      <c r="AC23" s="21">
        <f t="shared" si="25"/>
        <v>0.68693302715063453</v>
      </c>
      <c r="AD23" s="21">
        <f t="shared" si="25"/>
        <v>0.27200223761901676</v>
      </c>
      <c r="AE23" s="21">
        <f t="shared" si="25"/>
        <v>0.86968149788365723</v>
      </c>
      <c r="AF23" s="21">
        <f t="shared" si="25"/>
        <v>0.31518709073487011</v>
      </c>
      <c r="AG23" s="21">
        <f t="shared" si="25"/>
        <v>0.26196853820507487</v>
      </c>
      <c r="AH23" s="21">
        <f t="shared" ref="AH23:AP31" si="26">ABS(($W23-AH$12)/SQRT($V23^2+AH$11^2))</f>
        <v>0</v>
      </c>
      <c r="AI23" s="21">
        <f t="shared" si="26"/>
        <v>1.1492347140956281</v>
      </c>
      <c r="AJ23" s="21">
        <f t="shared" si="26"/>
        <v>0.99536636770299103</v>
      </c>
      <c r="AK23" s="21">
        <f t="shared" si="26"/>
        <v>0.70485512996213961</v>
      </c>
      <c r="AL23" s="21">
        <f t="shared" si="26"/>
        <v>0.61504386081908813</v>
      </c>
      <c r="AM23" s="21">
        <f t="shared" si="26"/>
        <v>0.40169585274223263</v>
      </c>
      <c r="AN23" s="21">
        <f t="shared" si="26"/>
        <v>0.59517321300799397</v>
      </c>
      <c r="AO23" s="21">
        <f t="shared" si="26"/>
        <v>2.7639622895165257E-2</v>
      </c>
      <c r="AP23" s="21">
        <f t="shared" si="26"/>
        <v>0.23498446965158226</v>
      </c>
      <c r="AQ23" s="3">
        <f t="shared" si="16"/>
        <v>299711535.88531095</v>
      </c>
    </row>
    <row r="24" spans="1:43">
      <c r="A24">
        <v>12</v>
      </c>
      <c r="B24">
        <v>120</v>
      </c>
      <c r="C24" s="1">
        <v>1440</v>
      </c>
      <c r="D24" s="1">
        <v>9.9399999999999992E-3</v>
      </c>
      <c r="E24" s="1">
        <v>1.0325000000000001E-2</v>
      </c>
      <c r="F24">
        <f t="shared" si="17"/>
        <v>3.8500000000000166E-4</v>
      </c>
      <c r="G24" s="22">
        <f t="shared" si="18"/>
        <v>753.98223686155029</v>
      </c>
      <c r="H24" s="22">
        <f t="shared" si="19"/>
        <v>9047.7868423386044</v>
      </c>
      <c r="K24">
        <f t="shared" si="20"/>
        <v>56552737101010.422</v>
      </c>
      <c r="L24">
        <f t="shared" si="21"/>
        <v>11473131212.704456</v>
      </c>
      <c r="M24">
        <f t="shared" si="22"/>
        <v>86465048778.257126</v>
      </c>
      <c r="O24" s="22">
        <f t="shared" si="23"/>
        <v>288755753.12541312</v>
      </c>
      <c r="P24">
        <f t="shared" si="24"/>
        <v>7526664.2864552811</v>
      </c>
      <c r="Q24" s="22">
        <f t="shared" si="11"/>
        <v>12043100.783856334</v>
      </c>
      <c r="R24" s="2">
        <f t="shared" si="12"/>
        <v>4.1706877364364563E-2</v>
      </c>
      <c r="S24" s="2">
        <f t="shared" si="13"/>
        <v>-0.90971444618183006</v>
      </c>
      <c r="T24" s="36">
        <f t="shared" si="14"/>
        <v>0.82758037359191383</v>
      </c>
      <c r="U24" s="12">
        <v>12</v>
      </c>
      <c r="V24" s="30" t="str">
        <f t="shared" si="15"/>
        <v>0.120E+08</v>
      </c>
      <c r="W24" s="24">
        <f t="shared" si="0"/>
        <v>308340344.71470666</v>
      </c>
      <c r="X24" s="18">
        <f t="shared" si="25"/>
        <v>0.20840774021236333</v>
      </c>
      <c r="Y24" s="19">
        <f t="shared" si="25"/>
        <v>1.4574384729607122</v>
      </c>
      <c r="Z24" s="19">
        <f t="shared" si="25"/>
        <v>0.1929953010405904</v>
      </c>
      <c r="AA24" s="19">
        <f t="shared" si="25"/>
        <v>0.27704593823712131</v>
      </c>
      <c r="AB24" s="19">
        <f t="shared" si="25"/>
        <v>1.2797302240461101</v>
      </c>
      <c r="AC24" s="19">
        <f t="shared" si="25"/>
        <v>0.46423194034060677</v>
      </c>
      <c r="AD24" s="19">
        <f t="shared" si="25"/>
        <v>1.417575778939427</v>
      </c>
      <c r="AE24" s="19">
        <f t="shared" si="25"/>
        <v>0.2807204378771429</v>
      </c>
      <c r="AF24" s="19">
        <f t="shared" si="25"/>
        <v>1.4561696251485456</v>
      </c>
      <c r="AG24" s="19">
        <f t="shared" si="25"/>
        <v>0.89097078826206144</v>
      </c>
      <c r="AH24" s="19">
        <f t="shared" si="26"/>
        <v>1.1492347140956281</v>
      </c>
      <c r="AI24" s="19">
        <f t="shared" si="26"/>
        <v>0</v>
      </c>
      <c r="AJ24" s="19">
        <f t="shared" si="26"/>
        <v>0.13557567190323802</v>
      </c>
      <c r="AK24" s="19">
        <f t="shared" si="26"/>
        <v>0.43197334187176895</v>
      </c>
      <c r="AL24" s="19">
        <f t="shared" si="26"/>
        <v>0.52688707574731508</v>
      </c>
      <c r="AM24" s="19">
        <f t="shared" si="26"/>
        <v>0.74111118538174137</v>
      </c>
      <c r="AN24" s="19">
        <f t="shared" si="26"/>
        <v>0.54683932125249679</v>
      </c>
      <c r="AO24" s="19">
        <f t="shared" si="26"/>
        <v>1.1167034560315428</v>
      </c>
      <c r="AP24" s="19">
        <f t="shared" si="26"/>
        <v>0.91327723642154268</v>
      </c>
      <c r="AQ24" s="3">
        <f t="shared" si="16"/>
        <v>299711535.88531095</v>
      </c>
    </row>
    <row r="25" spans="1:43">
      <c r="A25">
        <v>13</v>
      </c>
      <c r="B25">
        <v>102</v>
      </c>
      <c r="C25">
        <v>1420</v>
      </c>
      <c r="D25" s="1">
        <v>9.9399999999999992E-3</v>
      </c>
      <c r="E25" s="1">
        <v>1.03E-2</v>
      </c>
      <c r="F25">
        <f t="shared" si="17"/>
        <v>3.6000000000000094E-4</v>
      </c>
      <c r="G25" s="22">
        <f t="shared" si="18"/>
        <v>640.88490133231778</v>
      </c>
      <c r="H25" s="22">
        <f t="shared" si="19"/>
        <v>8922.1231361950122</v>
      </c>
      <c r="K25">
        <f t="shared" si="20"/>
        <v>64484159691531.391</v>
      </c>
      <c r="L25">
        <f t="shared" si="21"/>
        <v>13082217823.701212</v>
      </c>
      <c r="M25">
        <f t="shared" si="22"/>
        <v>98591620829.853058</v>
      </c>
      <c r="O25" s="22">
        <f t="shared" si="23"/>
        <v>308340344.71470666</v>
      </c>
      <c r="P25">
        <f t="shared" si="24"/>
        <v>8037153.322550525</v>
      </c>
      <c r="Q25" s="22">
        <f t="shared" si="11"/>
        <v>12368566.397901764</v>
      </c>
      <c r="R25" s="2">
        <f t="shared" si="12"/>
        <v>4.0113357236289782E-2</v>
      </c>
      <c r="S25" s="2">
        <f t="shared" si="13"/>
        <v>0.69764017524775745</v>
      </c>
      <c r="T25" s="36">
        <f t="shared" si="14"/>
        <v>0.48670181411972174</v>
      </c>
      <c r="U25" s="12">
        <v>13</v>
      </c>
      <c r="V25" s="30" t="str">
        <f t="shared" si="15"/>
        <v>0.124E+08</v>
      </c>
      <c r="W25" s="24">
        <f t="shared" si="0"/>
        <v>306000888.3815161</v>
      </c>
      <c r="X25" s="20">
        <f t="shared" si="25"/>
        <v>0.33695716178109619</v>
      </c>
      <c r="Y25" s="21">
        <f t="shared" si="25"/>
        <v>1.3007171786715652</v>
      </c>
      <c r="Z25" s="21">
        <f t="shared" si="25"/>
        <v>0.32538161256799097</v>
      </c>
      <c r="AA25" s="21">
        <f t="shared" si="25"/>
        <v>0.13920718969057574</v>
      </c>
      <c r="AB25" s="21">
        <f t="shared" si="25"/>
        <v>1.1251455703848408</v>
      </c>
      <c r="AC25" s="21">
        <f t="shared" si="25"/>
        <v>0.32098456374954804</v>
      </c>
      <c r="AD25" s="21">
        <f t="shared" si="25"/>
        <v>1.2600402479489745</v>
      </c>
      <c r="AE25" s="21">
        <f t="shared" si="25"/>
        <v>0.1405056963363244</v>
      </c>
      <c r="AF25" s="21">
        <f t="shared" si="25"/>
        <v>1.2987394583869694</v>
      </c>
      <c r="AG25" s="21">
        <f t="shared" si="25"/>
        <v>0.74067130229293565</v>
      </c>
      <c r="AH25" s="21">
        <f t="shared" si="26"/>
        <v>0.99536636770299103</v>
      </c>
      <c r="AI25" s="21">
        <f t="shared" si="26"/>
        <v>0.13557567190323802</v>
      </c>
      <c r="AJ25" s="21">
        <f t="shared" si="26"/>
        <v>0</v>
      </c>
      <c r="AK25" s="21">
        <f t="shared" si="26"/>
        <v>0.29106082322699822</v>
      </c>
      <c r="AL25" s="21">
        <f t="shared" si="26"/>
        <v>0.38383332276751753</v>
      </c>
      <c r="AM25" s="21">
        <f t="shared" si="26"/>
        <v>0.59457434567463086</v>
      </c>
      <c r="AN25" s="21">
        <f t="shared" si="26"/>
        <v>0.40346116313633162</v>
      </c>
      <c r="AO25" s="21">
        <f t="shared" si="26"/>
        <v>0.96405983191527256</v>
      </c>
      <c r="AP25" s="21">
        <f t="shared" si="26"/>
        <v>0.76327665773059072</v>
      </c>
      <c r="AQ25" s="3">
        <f t="shared" si="16"/>
        <v>299711535.88531095</v>
      </c>
    </row>
    <row r="26" spans="1:43">
      <c r="A26">
        <v>14</v>
      </c>
      <c r="B26">
        <v>127</v>
      </c>
      <c r="C26">
        <v>1435</v>
      </c>
      <c r="D26" s="1">
        <v>9.9500000000000005E-3</v>
      </c>
      <c r="E26" s="1">
        <v>1.031E-2</v>
      </c>
      <c r="F26">
        <f t="shared" si="17"/>
        <v>3.5999999999999921E-4</v>
      </c>
      <c r="G26" s="22">
        <f t="shared" si="18"/>
        <v>797.96453401180747</v>
      </c>
      <c r="H26" s="22">
        <f t="shared" si="19"/>
        <v>9016.3709158027068</v>
      </c>
      <c r="K26">
        <f t="shared" si="20"/>
        <v>63509356491818.234</v>
      </c>
      <c r="L26">
        <f t="shared" si="21"/>
        <v>12884454716.375439</v>
      </c>
      <c r="M26">
        <f t="shared" si="22"/>
        <v>97101217172.434128</v>
      </c>
      <c r="O26" s="22">
        <f t="shared" si="23"/>
        <v>306000888.3815161</v>
      </c>
      <c r="P26">
        <f t="shared" si="24"/>
        <v>7976173.4035630804</v>
      </c>
      <c r="Q26" s="22">
        <f t="shared" si="11"/>
        <v>12329028.484549249</v>
      </c>
      <c r="R26" s="2">
        <f t="shared" si="12"/>
        <v>4.0290825787334478E-2</v>
      </c>
      <c r="S26" s="2">
        <f t="shared" si="13"/>
        <v>0.51012555483077793</v>
      </c>
      <c r="T26" s="36">
        <f t="shared" si="14"/>
        <v>0.26022808169140904</v>
      </c>
      <c r="U26" s="12">
        <v>14</v>
      </c>
      <c r="V26" s="30" t="str">
        <f t="shared" si="15"/>
        <v>0.123E+08</v>
      </c>
      <c r="W26" s="24">
        <f t="shared" si="0"/>
        <v>300917312.99803823</v>
      </c>
      <c r="X26" s="18">
        <f t="shared" si="25"/>
        <v>0.62581950415984156</v>
      </c>
      <c r="Y26" s="19">
        <f t="shared" si="25"/>
        <v>1.0149117138267585</v>
      </c>
      <c r="Z26" s="19">
        <f t="shared" si="25"/>
        <v>0.62257146034681576</v>
      </c>
      <c r="AA26" s="19">
        <f t="shared" si="25"/>
        <v>0.15129118715438203</v>
      </c>
      <c r="AB26" s="19">
        <f t="shared" si="25"/>
        <v>0.83748219907207588</v>
      </c>
      <c r="AC26" s="19">
        <f t="shared" si="25"/>
        <v>2.6492402567939055E-2</v>
      </c>
      <c r="AD26" s="19">
        <f t="shared" si="25"/>
        <v>0.9717777523166663</v>
      </c>
      <c r="AE26" s="19">
        <f t="shared" si="25"/>
        <v>0.15473971499905215</v>
      </c>
      <c r="AF26" s="19">
        <f t="shared" si="25"/>
        <v>1.0117831817538538</v>
      </c>
      <c r="AG26" s="19">
        <f t="shared" si="25"/>
        <v>0.44793075394485699</v>
      </c>
      <c r="AH26" s="19">
        <f t="shared" si="26"/>
        <v>0.70485512996213961</v>
      </c>
      <c r="AI26" s="19">
        <f t="shared" si="26"/>
        <v>0.43197334187176895</v>
      </c>
      <c r="AJ26" s="19">
        <f t="shared" si="26"/>
        <v>0.29106082322699822</v>
      </c>
      <c r="AK26" s="19">
        <f t="shared" si="26"/>
        <v>0</v>
      </c>
      <c r="AL26" s="19">
        <f t="shared" si="26"/>
        <v>9.1972725388174387E-2</v>
      </c>
      <c r="AM26" s="19">
        <f t="shared" si="26"/>
        <v>0.30357914620633142</v>
      </c>
      <c r="AN26" s="19">
        <f t="shared" si="26"/>
        <v>0.11168116654282102</v>
      </c>
      <c r="AO26" s="19">
        <f t="shared" si="26"/>
        <v>0.67458190688904751</v>
      </c>
      <c r="AP26" s="19">
        <f t="shared" si="26"/>
        <v>0.4718045912840641</v>
      </c>
      <c r="AQ26" s="3">
        <f t="shared" si="16"/>
        <v>299711535.88531095</v>
      </c>
    </row>
    <row r="27" spans="1:43">
      <c r="A27">
        <v>15</v>
      </c>
      <c r="B27">
        <v>114</v>
      </c>
      <c r="C27">
        <v>1436</v>
      </c>
      <c r="D27" s="1">
        <v>9.9399999999999992E-3</v>
      </c>
      <c r="E27" s="1">
        <v>1.031E-2</v>
      </c>
      <c r="F27">
        <f t="shared" si="17"/>
        <v>3.7000000000000054E-4</v>
      </c>
      <c r="G27" s="22">
        <f t="shared" si="18"/>
        <v>716.28312501847279</v>
      </c>
      <c r="H27" s="22">
        <f t="shared" si="19"/>
        <v>9022.6541011098852</v>
      </c>
      <c r="K27">
        <f t="shared" si="20"/>
        <v>61416729765168.453</v>
      </c>
      <c r="L27">
        <f t="shared" si="21"/>
        <v>12459913266.309423</v>
      </c>
      <c r="M27">
        <f t="shared" si="22"/>
        <v>93901742111.284058</v>
      </c>
      <c r="O27" s="22">
        <f t="shared" si="23"/>
        <v>300917312.99803823</v>
      </c>
      <c r="P27">
        <f t="shared" si="24"/>
        <v>7843665.687709162</v>
      </c>
      <c r="Q27" s="22">
        <f t="shared" si="11"/>
        <v>12243720.53869516</v>
      </c>
      <c r="R27" s="2">
        <f t="shared" si="12"/>
        <v>4.0687989722861112E-2</v>
      </c>
      <c r="S27" s="2">
        <f t="shared" si="13"/>
        <v>9.848126710476085E-2</v>
      </c>
      <c r="T27" s="36">
        <f t="shared" si="14"/>
        <v>9.6985599705592517E-3</v>
      </c>
      <c r="U27" s="12">
        <v>15</v>
      </c>
      <c r="V27" s="30" t="str">
        <f t="shared" si="15"/>
        <v>0.122E+08</v>
      </c>
      <c r="W27" s="24">
        <f t="shared" si="0"/>
        <v>299323953.54948729</v>
      </c>
      <c r="X27" s="20">
        <f t="shared" si="25"/>
        <v>0.71876436742705219</v>
      </c>
      <c r="Y27" s="21">
        <f t="shared" si="25"/>
        <v>0.92741545742563214</v>
      </c>
      <c r="Z27" s="21">
        <f t="shared" si="25"/>
        <v>0.71828083818582023</v>
      </c>
      <c r="AA27" s="21">
        <f t="shared" si="25"/>
        <v>0.2434990051548995</v>
      </c>
      <c r="AB27" s="21">
        <f t="shared" si="25"/>
        <v>0.74892076387597373</v>
      </c>
      <c r="AC27" s="21">
        <f t="shared" si="25"/>
        <v>6.6507485017127208E-2</v>
      </c>
      <c r="AD27" s="21">
        <f t="shared" si="25"/>
        <v>0.88341814389535045</v>
      </c>
      <c r="AE27" s="21">
        <f t="shared" si="25"/>
        <v>0.24849614856411364</v>
      </c>
      <c r="AF27" s="21">
        <f t="shared" si="25"/>
        <v>0.92393172132897627</v>
      </c>
      <c r="AG27" s="21">
        <f t="shared" si="25"/>
        <v>0.35669014332918425</v>
      </c>
      <c r="AH27" s="21">
        <f t="shared" si="26"/>
        <v>0.61504386081908813</v>
      </c>
      <c r="AI27" s="21">
        <f t="shared" si="26"/>
        <v>0.52688707574731508</v>
      </c>
      <c r="AJ27" s="21">
        <f t="shared" si="26"/>
        <v>0.38383332276751753</v>
      </c>
      <c r="AK27" s="21">
        <f t="shared" si="26"/>
        <v>9.1972725388174387E-2</v>
      </c>
      <c r="AL27" s="21">
        <f t="shared" si="26"/>
        <v>0</v>
      </c>
      <c r="AM27" s="21">
        <f t="shared" si="26"/>
        <v>0.21247543011675521</v>
      </c>
      <c r="AN27" s="21">
        <f t="shared" si="26"/>
        <v>1.9789378295202414E-2</v>
      </c>
      <c r="AO27" s="21">
        <f t="shared" si="26"/>
        <v>0.58500179697168631</v>
      </c>
      <c r="AP27" s="21">
        <f t="shared" si="26"/>
        <v>0.38102838697381725</v>
      </c>
      <c r="AQ27" s="3">
        <f t="shared" si="16"/>
        <v>299711535.88531095</v>
      </c>
    </row>
    <row r="28" spans="1:43">
      <c r="A28">
        <v>16</v>
      </c>
      <c r="B28">
        <v>107</v>
      </c>
      <c r="C28">
        <v>1422</v>
      </c>
      <c r="D28" s="1">
        <v>9.9500000000000005E-3</v>
      </c>
      <c r="E28" s="1">
        <v>1.0319999999999999E-2</v>
      </c>
      <c r="F28">
        <f t="shared" si="17"/>
        <v>3.699999999999988E-4</v>
      </c>
      <c r="G28" s="22">
        <f t="shared" si="18"/>
        <v>672.30082786821572</v>
      </c>
      <c r="H28" s="22">
        <f t="shared" si="19"/>
        <v>8934.6895068093709</v>
      </c>
      <c r="K28">
        <f t="shared" si="20"/>
        <v>60768047615114.844</v>
      </c>
      <c r="L28">
        <f t="shared" si="21"/>
        <v>12328311936.216221</v>
      </c>
      <c r="M28">
        <f t="shared" si="22"/>
        <v>92909953974.738373</v>
      </c>
      <c r="O28" s="22">
        <f t="shared" si="23"/>
        <v>299323953.54948729</v>
      </c>
      <c r="P28">
        <f t="shared" si="24"/>
        <v>7802133.418560965</v>
      </c>
      <c r="Q28" s="22">
        <f t="shared" si="11"/>
        <v>12217155.441842651</v>
      </c>
      <c r="R28" s="2">
        <f t="shared" si="12"/>
        <v>4.081582946158295E-2</v>
      </c>
      <c r="S28" s="2">
        <f t="shared" si="13"/>
        <v>-3.1724433536813382E-2</v>
      </c>
      <c r="T28" s="36">
        <f t="shared" si="14"/>
        <v>1.0064396832316896E-3</v>
      </c>
      <c r="U28" s="12">
        <v>16</v>
      </c>
      <c r="V28" s="30" t="str">
        <f t="shared" si="15"/>
        <v>0.122E+08</v>
      </c>
      <c r="W28" s="24">
        <f t="shared" si="0"/>
        <v>295658028.80319279</v>
      </c>
      <c r="X28" s="18">
        <f t="shared" si="25"/>
        <v>0.92693125841729707</v>
      </c>
      <c r="Y28" s="19">
        <f t="shared" si="25"/>
        <v>0.71667443451851875</v>
      </c>
      <c r="Z28" s="19">
        <f t="shared" si="25"/>
        <v>0.93250494782024651</v>
      </c>
      <c r="AA28" s="19">
        <f t="shared" si="25"/>
        <v>0.45424002806201291</v>
      </c>
      <c r="AB28" s="19">
        <f t="shared" si="25"/>
        <v>0.53731434305781678</v>
      </c>
      <c r="AC28" s="19">
        <f t="shared" si="25"/>
        <v>0.28073159465155351</v>
      </c>
      <c r="AD28" s="19">
        <f t="shared" si="25"/>
        <v>0.67094271377859516</v>
      </c>
      <c r="AE28" s="19">
        <f t="shared" si="25"/>
        <v>0.4627202581985399</v>
      </c>
      <c r="AF28" s="19">
        <f t="shared" si="25"/>
        <v>0.71232530051081921</v>
      </c>
      <c r="AG28" s="19">
        <f t="shared" si="25"/>
        <v>0.14246603369475799</v>
      </c>
      <c r="AH28" s="19">
        <f t="shared" si="26"/>
        <v>0.40169585274223263</v>
      </c>
      <c r="AI28" s="19">
        <f t="shared" si="26"/>
        <v>0.74111118538174137</v>
      </c>
      <c r="AJ28" s="19">
        <f t="shared" si="26"/>
        <v>0.59457434567463086</v>
      </c>
      <c r="AK28" s="19">
        <f t="shared" si="26"/>
        <v>0.30357914620633142</v>
      </c>
      <c r="AL28" s="19">
        <f t="shared" si="26"/>
        <v>0.21247543011675521</v>
      </c>
      <c r="AM28" s="19">
        <f t="shared" si="26"/>
        <v>0</v>
      </c>
      <c r="AN28" s="19">
        <f t="shared" si="26"/>
        <v>0.1926860518215528</v>
      </c>
      <c r="AO28" s="19">
        <f t="shared" si="26"/>
        <v>0.37252636685493112</v>
      </c>
      <c r="AP28" s="19">
        <f t="shared" si="26"/>
        <v>0.16768037889696172</v>
      </c>
      <c r="AQ28" s="3">
        <f t="shared" si="16"/>
        <v>299711535.88531095</v>
      </c>
    </row>
    <row r="29" spans="1:43">
      <c r="A29">
        <v>17</v>
      </c>
      <c r="B29">
        <v>109</v>
      </c>
      <c r="C29" s="1">
        <v>1443</v>
      </c>
      <c r="D29" s="1">
        <v>9.9500000000000005E-3</v>
      </c>
      <c r="E29" s="1">
        <v>1.0330000000000001E-2</v>
      </c>
      <c r="F29">
        <f t="shared" si="17"/>
        <v>3.8000000000000013E-4</v>
      </c>
      <c r="G29" s="22">
        <f t="shared" si="18"/>
        <v>684.86719848257485</v>
      </c>
      <c r="H29" s="22">
        <f t="shared" si="19"/>
        <v>9066.6363982601433</v>
      </c>
      <c r="K29">
        <f t="shared" si="20"/>
        <v>59288667770393.273</v>
      </c>
      <c r="L29">
        <f t="shared" si="21"/>
        <v>12028182889.560091</v>
      </c>
      <c r="M29">
        <f t="shared" si="22"/>
        <v>90648089085.565109</v>
      </c>
      <c r="O29" s="22">
        <f t="shared" si="23"/>
        <v>295658028.80319279</v>
      </c>
      <c r="P29">
        <f t="shared" si="24"/>
        <v>7706577.9722499661</v>
      </c>
      <c r="Q29" s="22">
        <f t="shared" si="11"/>
        <v>12156354.110155236</v>
      </c>
      <c r="R29" s="2">
        <f t="shared" si="12"/>
        <v>4.1116265840516759E-2</v>
      </c>
      <c r="S29" s="2">
        <f t="shared" si="13"/>
        <v>-0.33344759830021031</v>
      </c>
      <c r="T29" s="36">
        <f t="shared" si="14"/>
        <v>0.11118730081217842</v>
      </c>
      <c r="U29" s="12">
        <v>17</v>
      </c>
      <c r="V29" s="30" t="str">
        <f t="shared" si="15"/>
        <v>0.122E+08</v>
      </c>
      <c r="W29" s="24">
        <f t="shared" si="0"/>
        <v>298982519.38194001</v>
      </c>
      <c r="X29" s="20">
        <f t="shared" si="25"/>
        <v>0.73815246021537351</v>
      </c>
      <c r="Y29" s="21">
        <f t="shared" si="25"/>
        <v>0.9077876170568181</v>
      </c>
      <c r="Z29" s="21">
        <f t="shared" si="25"/>
        <v>0.73823308369100193</v>
      </c>
      <c r="AA29" s="21">
        <f t="shared" si="25"/>
        <v>0.26312684552371357</v>
      </c>
      <c r="AB29" s="21">
        <f t="shared" si="25"/>
        <v>0.72921232272132708</v>
      </c>
      <c r="AC29" s="21">
        <f t="shared" si="25"/>
        <v>8.6459730522308903E-2</v>
      </c>
      <c r="AD29" s="21">
        <f t="shared" si="25"/>
        <v>0.86362876560014801</v>
      </c>
      <c r="AE29" s="21">
        <f t="shared" si="25"/>
        <v>0.26844839406929533</v>
      </c>
      <c r="AF29" s="21">
        <f t="shared" si="25"/>
        <v>0.90422328017432962</v>
      </c>
      <c r="AG29" s="21">
        <f t="shared" si="25"/>
        <v>0.3367378978240026</v>
      </c>
      <c r="AH29" s="21">
        <f t="shared" si="26"/>
        <v>0.59517321300799397</v>
      </c>
      <c r="AI29" s="21">
        <f t="shared" si="26"/>
        <v>0.54683932125249679</v>
      </c>
      <c r="AJ29" s="21">
        <f t="shared" si="26"/>
        <v>0.40346116313633162</v>
      </c>
      <c r="AK29" s="21">
        <f t="shared" si="26"/>
        <v>0.11168116654282102</v>
      </c>
      <c r="AL29" s="21">
        <f t="shared" si="26"/>
        <v>1.9789378295202414E-2</v>
      </c>
      <c r="AM29" s="21">
        <f t="shared" si="26"/>
        <v>0.1926860518215528</v>
      </c>
      <c r="AN29" s="21">
        <f t="shared" si="26"/>
        <v>0</v>
      </c>
      <c r="AO29" s="21">
        <f t="shared" si="26"/>
        <v>0.56521241867648397</v>
      </c>
      <c r="AP29" s="21">
        <f t="shared" si="26"/>
        <v>0.36115773916272309</v>
      </c>
      <c r="AQ29" s="3">
        <f t="shared" si="16"/>
        <v>299711535.88531095</v>
      </c>
    </row>
    <row r="30" spans="1:43">
      <c r="A30">
        <v>18</v>
      </c>
      <c r="B30">
        <v>144</v>
      </c>
      <c r="C30">
        <v>1422</v>
      </c>
      <c r="D30" s="1">
        <v>9.9600000000000001E-3</v>
      </c>
      <c r="E30" s="1">
        <v>1.0319999999999999E-2</v>
      </c>
      <c r="F30">
        <f t="shared" si="17"/>
        <v>3.5999999999999921E-4</v>
      </c>
      <c r="G30" s="22">
        <f t="shared" si="18"/>
        <v>904.77868423386042</v>
      </c>
      <c r="H30" s="22">
        <f t="shared" si="19"/>
        <v>8934.6895068093709</v>
      </c>
      <c r="K30">
        <f t="shared" si="20"/>
        <v>60629492354963.82</v>
      </c>
      <c r="L30">
        <f t="shared" si="21"/>
        <v>12300202550.863504</v>
      </c>
      <c r="M30">
        <f t="shared" si="22"/>
        <v>92698112993.354141</v>
      </c>
      <c r="O30" s="22">
        <f t="shared" si="23"/>
        <v>298982519.38194001</v>
      </c>
      <c r="P30">
        <f t="shared" si="24"/>
        <v>7793233.6466006227</v>
      </c>
      <c r="Q30" s="22">
        <f t="shared" si="11"/>
        <v>12211473.780000009</v>
      </c>
      <c r="R30" s="2">
        <f t="shared" si="12"/>
        <v>4.0843437286045024E-2</v>
      </c>
      <c r="S30" s="2">
        <f t="shared" si="13"/>
        <v>-5.9699305465072225E-2</v>
      </c>
      <c r="T30" s="36">
        <f t="shared" si="14"/>
        <v>3.5640070730120024E-3</v>
      </c>
      <c r="U30" s="12">
        <v>18</v>
      </c>
      <c r="V30" s="30" t="str">
        <f t="shared" si="15"/>
        <v>0.122E+08</v>
      </c>
      <c r="W30" s="24">
        <f t="shared" si="0"/>
        <v>289230680.35094941</v>
      </c>
      <c r="X30" s="18">
        <f t="shared" si="25"/>
        <v>1.2919036016076133</v>
      </c>
      <c r="Y30" s="19">
        <f t="shared" si="25"/>
        <v>0.34718894827787711</v>
      </c>
      <c r="Z30" s="19">
        <f t="shared" si="25"/>
        <v>1.3080972184700479</v>
      </c>
      <c r="AA30" s="19">
        <f t="shared" si="25"/>
        <v>0.8237255143026545</v>
      </c>
      <c r="AB30" s="19">
        <f t="shared" si="25"/>
        <v>0.1663115823751006</v>
      </c>
      <c r="AC30" s="19">
        <f t="shared" si="25"/>
        <v>0.65632386530135478</v>
      </c>
      <c r="AD30" s="19">
        <f t="shared" si="25"/>
        <v>0.29841634692366409</v>
      </c>
      <c r="AE30" s="19">
        <f t="shared" si="25"/>
        <v>0.83831252884834129</v>
      </c>
      <c r="AF30" s="19">
        <f t="shared" si="25"/>
        <v>0.34132253982810312</v>
      </c>
      <c r="AG30" s="19">
        <f t="shared" si="25"/>
        <v>0.23312623695504334</v>
      </c>
      <c r="AH30" s="19">
        <f t="shared" si="26"/>
        <v>2.7639622895165257E-2</v>
      </c>
      <c r="AI30" s="19">
        <f t="shared" si="26"/>
        <v>1.1167034560315428</v>
      </c>
      <c r="AJ30" s="19">
        <f t="shared" si="26"/>
        <v>0.96405983191527256</v>
      </c>
      <c r="AK30" s="19">
        <f t="shared" si="26"/>
        <v>0.67458190688904751</v>
      </c>
      <c r="AL30" s="19">
        <f t="shared" si="26"/>
        <v>0.58500179697168631</v>
      </c>
      <c r="AM30" s="19">
        <f t="shared" si="26"/>
        <v>0.37252636685493112</v>
      </c>
      <c r="AN30" s="19">
        <f t="shared" si="26"/>
        <v>0.56521241867648397</v>
      </c>
      <c r="AO30" s="19">
        <f t="shared" si="26"/>
        <v>0</v>
      </c>
      <c r="AP30" s="19">
        <f t="shared" si="26"/>
        <v>0.20637585095010566</v>
      </c>
      <c r="AQ30" s="3">
        <f t="shared" si="16"/>
        <v>299711535.88531095</v>
      </c>
    </row>
    <row r="31" spans="1:43">
      <c r="A31">
        <v>19</v>
      </c>
      <c r="B31">
        <v>128</v>
      </c>
      <c r="C31">
        <v>1433</v>
      </c>
      <c r="D31" s="1">
        <v>9.9399999999999992E-3</v>
      </c>
      <c r="E31" s="1">
        <v>1.0319999999999999E-2</v>
      </c>
      <c r="F31">
        <f t="shared" si="17"/>
        <v>3.8000000000000013E-4</v>
      </c>
      <c r="G31" s="22">
        <f t="shared" si="18"/>
        <v>804.24771931898704</v>
      </c>
      <c r="H31" s="22">
        <f t="shared" si="19"/>
        <v>9003.8045451883463</v>
      </c>
      <c r="K31">
        <f t="shared" si="20"/>
        <v>56738918825636.266</v>
      </c>
      <c r="L31">
        <f t="shared" si="21"/>
        <v>11510902812.551596</v>
      </c>
      <c r="M31">
        <f t="shared" si="22"/>
        <v>86749707182.546906</v>
      </c>
      <c r="O31" s="22">
        <f t="shared" si="23"/>
        <v>289230680.35094941</v>
      </c>
      <c r="P31">
        <f t="shared" si="24"/>
        <v>7539043.6685054004</v>
      </c>
      <c r="Q31" s="22">
        <f t="shared" si="11"/>
        <v>12050841.491147041</v>
      </c>
      <c r="R31" s="2">
        <f t="shared" si="12"/>
        <v>4.1665156257021836E-2</v>
      </c>
      <c r="S31" s="2">
        <f t="shared" si="13"/>
        <v>-0.86971980687499162</v>
      </c>
      <c r="T31" s="36">
        <f t="shared" si="14"/>
        <v>0.75641254247067269</v>
      </c>
      <c r="U31" s="12">
        <v>19</v>
      </c>
      <c r="V31" s="30" t="str">
        <f t="shared" si="15"/>
        <v>0.121E+08</v>
      </c>
      <c r="W31" s="24">
        <f t="shared" si="0"/>
        <v>292776803.63494575</v>
      </c>
      <c r="X31" s="20">
        <f t="shared" si="25"/>
        <v>1.0948372422299031</v>
      </c>
      <c r="Y31" s="21">
        <f t="shared" si="25"/>
        <v>0.5532689739695269</v>
      </c>
      <c r="Z31" s="21">
        <f t="shared" si="25"/>
        <v>1.105470072567327</v>
      </c>
      <c r="AA31" s="21">
        <f t="shared" si="25"/>
        <v>0.62237545300017028</v>
      </c>
      <c r="AB31" s="21">
        <f t="shared" si="25"/>
        <v>0.3725138531625854</v>
      </c>
      <c r="AC31" s="21">
        <f t="shared" si="25"/>
        <v>0.45097554947654911</v>
      </c>
      <c r="AD31" s="21">
        <f t="shared" si="25"/>
        <v>0.50601771146428776</v>
      </c>
      <c r="AE31" s="21">
        <f t="shared" si="25"/>
        <v>0.63372402020957175</v>
      </c>
      <c r="AF31" s="21">
        <f t="shared" si="25"/>
        <v>0.54823762941294563</v>
      </c>
      <c r="AG31" s="21">
        <f t="shared" si="25"/>
        <v>2.6011060530989429E-2</v>
      </c>
      <c r="AH31" s="21">
        <f t="shared" si="26"/>
        <v>0.23498446965158226</v>
      </c>
      <c r="AI31" s="21">
        <f t="shared" si="26"/>
        <v>0.91327723642154268</v>
      </c>
      <c r="AJ31" s="21">
        <f t="shared" si="26"/>
        <v>0.76327665773059072</v>
      </c>
      <c r="AK31" s="21">
        <f t="shared" si="26"/>
        <v>0.4718045912840641</v>
      </c>
      <c r="AL31" s="21">
        <f t="shared" si="26"/>
        <v>0.38102838697381725</v>
      </c>
      <c r="AM31" s="21">
        <f t="shared" si="26"/>
        <v>0.16768037889696172</v>
      </c>
      <c r="AN31" s="21">
        <f t="shared" si="26"/>
        <v>0.36115773916272309</v>
      </c>
      <c r="AO31" s="21">
        <f t="shared" si="26"/>
        <v>0.20637585095010566</v>
      </c>
      <c r="AP31" s="21">
        <f t="shared" si="26"/>
        <v>0</v>
      </c>
      <c r="AQ31" s="3">
        <f t="shared" si="16"/>
        <v>299711535.88531095</v>
      </c>
    </row>
    <row r="32" spans="1:43">
      <c r="A32">
        <v>20</v>
      </c>
      <c r="B32">
        <v>119</v>
      </c>
      <c r="C32">
        <v>1440</v>
      </c>
      <c r="D32" s="1">
        <v>9.9500000000000005E-3</v>
      </c>
      <c r="E32" s="1">
        <v>1.0330000000000001E-2</v>
      </c>
      <c r="F32">
        <f t="shared" si="17"/>
        <v>3.8000000000000013E-4</v>
      </c>
      <c r="G32" s="22">
        <f t="shared" si="18"/>
        <v>747.69905155437073</v>
      </c>
      <c r="H32" s="22">
        <f t="shared" si="19"/>
        <v>9047.7868423386044</v>
      </c>
      <c r="K32">
        <f t="shared" si="20"/>
        <v>58138747021568.758</v>
      </c>
      <c r="L32">
        <f t="shared" si="21"/>
        <v>11794892825.952553</v>
      </c>
      <c r="M32">
        <f t="shared" si="22"/>
        <v>88889943348.769882</v>
      </c>
      <c r="O32" s="22">
        <f t="shared" si="23"/>
        <v>292776803.63494575</v>
      </c>
      <c r="P32">
        <f t="shared" si="24"/>
        <v>7631476.3878127467</v>
      </c>
      <c r="Q32" s="22">
        <f t="shared" si="11"/>
        <v>12108882.403709402</v>
      </c>
      <c r="R32" s="2">
        <f t="shared" si="12"/>
        <v>4.1358749236184669E-2</v>
      </c>
      <c r="S32" s="2">
        <f t="shared" si="13"/>
        <v>-0.57269795999016648</v>
      </c>
      <c r="T32" s="36">
        <f t="shared" si="14"/>
        <v>0.32798295337689831</v>
      </c>
      <c r="V32" s="28"/>
      <c r="X32" s="35">
        <f>SUMSQ(X13:X31)</f>
        <v>19.006236862034818</v>
      </c>
      <c r="Y32" s="35">
        <f t="shared" ref="Y32:AP32" si="27">SUMSQ(Y13:Y31)</f>
        <v>17.03768001143742</v>
      </c>
      <c r="Z32" s="35">
        <f t="shared" si="27"/>
        <v>19.419440007808387</v>
      </c>
      <c r="AA32" s="35">
        <f t="shared" si="27"/>
        <v>8.0012531637721924</v>
      </c>
      <c r="AB32" s="35">
        <f t="shared" si="27"/>
        <v>12.326540942560285</v>
      </c>
      <c r="AC32" s="35">
        <f t="shared" si="27"/>
        <v>6.2184751412442703</v>
      </c>
      <c r="AD32" s="35">
        <f t="shared" si="27"/>
        <v>15.810365376320348</v>
      </c>
      <c r="AE32" s="35">
        <f t="shared" si="27"/>
        <v>8.2812824640902107</v>
      </c>
      <c r="AF32" s="35">
        <f t="shared" si="27"/>
        <v>16.959335893060413</v>
      </c>
      <c r="AG32" s="35">
        <f t="shared" si="27"/>
        <v>6.2840558849056727</v>
      </c>
      <c r="AH32" s="35">
        <f t="shared" si="27"/>
        <v>9.6336500577931581</v>
      </c>
      <c r="AI32" s="35">
        <f t="shared" si="27"/>
        <v>13.870080144768936</v>
      </c>
      <c r="AJ32" s="35">
        <f t="shared" si="27"/>
        <v>10.411883793606972</v>
      </c>
      <c r="AK32" s="35">
        <f t="shared" si="27"/>
        <v>6.2857923226454213</v>
      </c>
      <c r="AL32" s="35">
        <f t="shared" si="27"/>
        <v>5.6849250727793246</v>
      </c>
      <c r="AM32" s="35">
        <f t="shared" si="27"/>
        <v>5.4136689064353032</v>
      </c>
      <c r="AN32" s="35">
        <f t="shared" si="27"/>
        <v>5.587265983509063</v>
      </c>
      <c r="AO32" s="35">
        <f t="shared" si="27"/>
        <v>9.0756085594432676</v>
      </c>
      <c r="AP32" s="35">
        <f t="shared" si="27"/>
        <v>6.4560461647698908</v>
      </c>
    </row>
    <row r="33" spans="1:44">
      <c r="R33" s="2"/>
      <c r="S33" s="2"/>
      <c r="AQ33" t="s">
        <v>111</v>
      </c>
      <c r="AR33" t="s">
        <v>112</v>
      </c>
    </row>
    <row r="34" spans="1:44">
      <c r="R34" s="2"/>
      <c r="S34" s="2"/>
      <c r="AQ34">
        <f>SUM(X32:AP32)/2</f>
        <v>100.88179337649267</v>
      </c>
      <c r="AR34">
        <f>AQ34/171</f>
        <v>0.58995200804966474</v>
      </c>
    </row>
    <row r="35" spans="1:44">
      <c r="R35" s="2"/>
      <c r="S35" s="2"/>
      <c r="AK35" s="35"/>
    </row>
    <row r="36" spans="1:44">
      <c r="N36" t="s">
        <v>40</v>
      </c>
      <c r="O36" t="s">
        <v>41</v>
      </c>
      <c r="P36" t="s">
        <v>61</v>
      </c>
      <c r="Q36" t="s">
        <v>55</v>
      </c>
      <c r="R36" s="2"/>
      <c r="S36" s="2"/>
      <c r="AK36" s="35"/>
    </row>
    <row r="37" spans="1:44">
      <c r="N37">
        <f>AVERAGE(O14:O32)</f>
        <v>296912736.21260393</v>
      </c>
      <c r="O37">
        <f>_xlfn.STDEV.S(O14:O32)</f>
        <v>9401361.6678181086</v>
      </c>
      <c r="P37">
        <f>O37/SQRT(COUNT(P14:P32))</f>
        <v>2156820.2864050595</v>
      </c>
      <c r="Q37">
        <f>O37/N37</f>
        <v>3.1663719743858607E-2</v>
      </c>
      <c r="R37" s="2"/>
      <c r="S37" s="2"/>
      <c r="U37" s="4"/>
      <c r="V37" s="4" t="s">
        <v>116</v>
      </c>
      <c r="W37" s="4" t="s">
        <v>115</v>
      </c>
      <c r="X37" s="4" t="s">
        <v>117</v>
      </c>
      <c r="AK37" s="35"/>
    </row>
    <row r="38" spans="1:44">
      <c r="A38" t="s">
        <v>44</v>
      </c>
      <c r="B38" t="s">
        <v>56</v>
      </c>
      <c r="C38" t="s">
        <v>39</v>
      </c>
      <c r="D38" t="s">
        <v>57</v>
      </c>
      <c r="R38" s="2"/>
      <c r="S38" s="2"/>
      <c r="U38" s="4" t="s">
        <v>118</v>
      </c>
      <c r="V38" s="31" t="str">
        <f>"\num{" &amp; TEXT(O37/1000000,"0.00") &amp; "E6}"</f>
        <v>\num{9.40E6}</v>
      </c>
      <c r="W38" s="31" t="str">
        <f>"\num{" &amp; TEXT('Misura di c (2)'!N26/1000000,"0.00") &amp; "E6}"</f>
        <v>\num{13.50E6}</v>
      </c>
      <c r="X38" s="31" t="str">
        <f>"\num{" &amp; TEXT('Misura di c (3)'!P26/1000000,"0.00") &amp; "E6}"</f>
        <v>\num{3.50E6}</v>
      </c>
      <c r="AK38" s="35"/>
    </row>
    <row r="39" spans="1:44">
      <c r="A39">
        <f>O13</f>
        <v>326162748.41666162</v>
      </c>
      <c r="B39">
        <f>P13</f>
        <v>8501709.4326552153</v>
      </c>
      <c r="C39">
        <f>1/B39^2</f>
        <v>1.3835265077571629E-14</v>
      </c>
      <c r="D39">
        <f>C39*A39</f>
        <v>4.5125480827738198E-6</v>
      </c>
      <c r="R39" s="2"/>
      <c r="S39" s="2"/>
      <c r="AK39" s="35"/>
    </row>
    <row r="40" spans="1:44">
      <c r="A40">
        <f t="shared" ref="A40:B40" si="28">O14</f>
        <v>311981759.35506576</v>
      </c>
      <c r="B40">
        <f t="shared" si="28"/>
        <v>8132069.8921049414</v>
      </c>
      <c r="C40">
        <f t="shared" ref="C40:C58" si="29">1/B40^2</f>
        <v>1.5121601706684866E-14</v>
      </c>
      <c r="D40">
        <f t="shared" ref="D40:D58" si="30">C40*A40</f>
        <v>4.7176639047181095E-6</v>
      </c>
      <c r="R40" s="2"/>
      <c r="S40" s="2"/>
      <c r="AK40" s="35"/>
    </row>
    <row r="41" spans="1:44">
      <c r="A41">
        <f t="shared" ref="A41:B41" si="31">O15</f>
        <v>283191189.13289255</v>
      </c>
      <c r="B41">
        <f t="shared" si="31"/>
        <v>7381619.1934350608</v>
      </c>
      <c r="C41">
        <f t="shared" si="29"/>
        <v>1.8352563115754683E-14</v>
      </c>
      <c r="D41">
        <f t="shared" si="30"/>
        <v>5.1972841723870322E-6</v>
      </c>
      <c r="R41" s="2"/>
      <c r="S41" s="2"/>
      <c r="AK41" s="35"/>
    </row>
    <row r="42" spans="1:44">
      <c r="A42">
        <f t="shared" ref="A42:B42" si="32">O16</f>
        <v>311615583.58117723</v>
      </c>
      <c r="B42">
        <f t="shared" si="32"/>
        <v>8122525.2091330513</v>
      </c>
      <c r="C42">
        <f t="shared" si="29"/>
        <v>1.515716101647084E-14</v>
      </c>
      <c r="D42">
        <f t="shared" si="30"/>
        <v>4.7232075755814305E-6</v>
      </c>
      <c r="K42" s="4" t="s">
        <v>102</v>
      </c>
      <c r="L42" s="4" t="s">
        <v>103</v>
      </c>
      <c r="M42" s="4" t="s">
        <v>104</v>
      </c>
      <c r="N42" s="4" t="s">
        <v>105</v>
      </c>
      <c r="O42" s="4" t="s">
        <v>106</v>
      </c>
      <c r="P42" s="4" t="s">
        <v>108</v>
      </c>
      <c r="Q42" s="4" t="s">
        <v>109</v>
      </c>
      <c r="R42" s="4" t="s">
        <v>107</v>
      </c>
      <c r="S42" s="2"/>
      <c r="AK42" s="35"/>
    </row>
    <row r="43" spans="1:44">
      <c r="A43">
        <f t="shared" ref="A43:B43" si="33">O17</f>
        <v>303559716.55557692</v>
      </c>
      <c r="B43">
        <f t="shared" si="33"/>
        <v>7912542.1837500567</v>
      </c>
      <c r="C43">
        <f t="shared" si="29"/>
        <v>1.5972317084238575E-14</v>
      </c>
      <c r="D43">
        <f t="shared" si="30"/>
        <v>4.8485520468272602E-6</v>
      </c>
      <c r="K43" s="4">
        <v>1</v>
      </c>
      <c r="L43" s="31" t="str">
        <f t="shared" ref="L43:M43" si="34">"\num{" &amp; B14 &amp; "}"</f>
        <v>\num{82}</v>
      </c>
      <c r="M43" s="31" t="str">
        <f t="shared" si="34"/>
        <v>\num{934}</v>
      </c>
      <c r="N43" s="31" t="str">
        <f>"\num{" &amp; TEXT(D14/0.001, "00.00") &amp; "}"</f>
        <v>\num{09.94}</v>
      </c>
      <c r="O43" s="31" t="str">
        <f>"\num{" &amp; TEXT(E14/0.001, "00.00") &amp; "}"</f>
        <v>\num{10.17}</v>
      </c>
      <c r="P43" s="34" t="str">
        <f>"\num{" &amp; TEXT(O13/1000000, "0.00") &amp; "E+06}"</f>
        <v>\num{326.16E+06}</v>
      </c>
      <c r="Q43" s="34" t="str">
        <f>"\num{" &amp; TEXT(P13/1000000, "0.00") &amp; "E+06}"</f>
        <v>\num{8.50E+06}</v>
      </c>
      <c r="R43" s="34">
        <f>R13</f>
        <v>3.886206086915632E-2</v>
      </c>
      <c r="AK43" s="35"/>
    </row>
    <row r="44" spans="1:44">
      <c r="A44">
        <f t="shared" ref="A44:B44" si="35">O18</f>
        <v>286349455.18270081</v>
      </c>
      <c r="B44">
        <f t="shared" si="35"/>
        <v>7463942.0840681409</v>
      </c>
      <c r="C44">
        <f t="shared" si="29"/>
        <v>1.7949959715872802E-14</v>
      </c>
      <c r="D44">
        <f t="shared" si="30"/>
        <v>5.139961185191604E-6</v>
      </c>
      <c r="K44" s="4">
        <v>2</v>
      </c>
      <c r="L44" s="32" t="str">
        <f t="shared" ref="L44:M44" si="36">"\num{" &amp; B15 &amp; "}"</f>
        <v>\num{110}</v>
      </c>
      <c r="M44" s="32" t="str">
        <f t="shared" si="36"/>
        <v>\num{917}</v>
      </c>
      <c r="N44" s="32" t="str">
        <f t="shared" ref="N44:O44" si="37">"\num{" &amp; TEXT(D15/0.001, "00.00") &amp; "}"</f>
        <v>\num{09.94}</v>
      </c>
      <c r="O44" s="32" t="str">
        <f t="shared" si="37"/>
        <v>\num{10.18}</v>
      </c>
      <c r="P44" s="33" t="str">
        <f t="shared" ref="P44:Q44" si="38">"\num{" &amp; TEXT(O14/1000000, "0.00") &amp; "E+06}"</f>
        <v>\num{311.98E+06}</v>
      </c>
      <c r="Q44" s="33" t="str">
        <f t="shared" si="38"/>
        <v>\num{8.13E+06}</v>
      </c>
      <c r="R44" s="33">
        <f t="shared" ref="P44:R61" si="39">R14</f>
        <v>3.9843524928798821E-2</v>
      </c>
      <c r="AK44" s="35"/>
    </row>
    <row r="45" spans="1:44">
      <c r="A45">
        <f t="shared" ref="A45:B45" si="40">O19</f>
        <v>300462067.44130909</v>
      </c>
      <c r="B45">
        <f t="shared" si="40"/>
        <v>7831799.3250953825</v>
      </c>
      <c r="C45">
        <f t="shared" si="29"/>
        <v>1.630335172623408E-14</v>
      </c>
      <c r="D45">
        <f t="shared" si="30"/>
        <v>4.8985387658871269E-6</v>
      </c>
      <c r="K45" s="4">
        <v>3</v>
      </c>
      <c r="L45" s="31" t="str">
        <f t="shared" ref="L45:M45" si="41">"\num{" &amp; B16 &amp; "}"</f>
        <v>\num{108}</v>
      </c>
      <c r="M45" s="34" t="str">
        <f t="shared" si="41"/>
        <v>\num{959}</v>
      </c>
      <c r="N45" s="31" t="str">
        <f t="shared" ref="N45:O45" si="42">"\num{" &amp; TEXT(D16/0.001, "00.00") &amp; "}"</f>
        <v>\num{09.95}</v>
      </c>
      <c r="O45" s="34" t="str">
        <f t="shared" si="42"/>
        <v>\num{10.18}</v>
      </c>
      <c r="P45" s="34" t="str">
        <f t="shared" ref="P45:Q45" si="43">"\num{" &amp; TEXT(O15/1000000, "0.00") &amp; "E+06}"</f>
        <v>\num{283.19E+06}</v>
      </c>
      <c r="Q45" s="34" t="str">
        <f t="shared" si="43"/>
        <v>\num{7.38E+06}</v>
      </c>
      <c r="R45" s="34">
        <f t="shared" si="39"/>
        <v>4.2208188897858476E-2</v>
      </c>
      <c r="AK45" s="35"/>
    </row>
    <row r="46" spans="1:44">
      <c r="A46">
        <f t="shared" ref="A46:B46" si="44">O20</f>
        <v>284081982.12129939</v>
      </c>
      <c r="B46">
        <f t="shared" si="44"/>
        <v>7404838.470280272</v>
      </c>
      <c r="C46">
        <f t="shared" si="29"/>
        <v>1.8237647676432812E-14</v>
      </c>
      <c r="D46">
        <f t="shared" si="30"/>
        <v>5.1809871011509435E-6</v>
      </c>
      <c r="K46" s="4">
        <v>4</v>
      </c>
      <c r="L46" s="32" t="str">
        <f t="shared" ref="L46:M46" si="45">"\num{" &amp; B17 &amp; "}"</f>
        <v>\num{100}</v>
      </c>
      <c r="M46" s="32" t="str">
        <f t="shared" si="45"/>
        <v>\num{929}</v>
      </c>
      <c r="N46" s="32" t="str">
        <f t="shared" ref="N46:O46" si="46">"\num{" &amp; TEXT(D17/0.001, "00.00") &amp; "}"</f>
        <v>\num{09.95}</v>
      </c>
      <c r="O46" s="32" t="str">
        <f t="shared" si="46"/>
        <v>\num{10.18}</v>
      </c>
      <c r="P46" s="33" t="str">
        <f t="shared" ref="P46:Q46" si="47">"\num{" &amp; TEXT(O16/1000000, "0.00") &amp; "E+06}"</f>
        <v>\num{311.62E+06}</v>
      </c>
      <c r="Q46" s="33" t="str">
        <f t="shared" si="47"/>
        <v>\num{8.12E+06}</v>
      </c>
      <c r="R46" s="33">
        <f t="shared" si="39"/>
        <v>3.9870313214492359E-2</v>
      </c>
      <c r="AK46" s="35"/>
    </row>
    <row r="47" spans="1:44">
      <c r="A47">
        <f t="shared" ref="A47:B47" si="48">O21</f>
        <v>303576360.90893263</v>
      </c>
      <c r="B47">
        <f t="shared" si="48"/>
        <v>7912976.0329759782</v>
      </c>
      <c r="C47">
        <f t="shared" si="29"/>
        <v>1.5970565685672888E-14</v>
      </c>
      <c r="D47">
        <f t="shared" si="30"/>
        <v>4.8482862125136477E-6</v>
      </c>
      <c r="K47" s="4">
        <v>5</v>
      </c>
      <c r="L47" s="31" t="str">
        <f t="shared" ref="L47:M47" si="49">"\num{" &amp; B18 &amp; "}"</f>
        <v>\num{118}</v>
      </c>
      <c r="M47" s="34" t="str">
        <f t="shared" si="49"/>
        <v>\num{1002}</v>
      </c>
      <c r="N47" s="31" t="str">
        <f t="shared" ref="N47:O47" si="50">"\num{" &amp; TEXT(D18/0.001, "00.00") &amp; "}"</f>
        <v>\num{09.94}</v>
      </c>
      <c r="O47" s="34" t="str">
        <f t="shared" si="50"/>
        <v>\num{10.20}</v>
      </c>
      <c r="P47" s="34" t="str">
        <f t="shared" ref="P47:Q47" si="51">"\num{" &amp; TEXT(O17/1000000, "0.00") &amp; "E+06}"</f>
        <v>\num{303.56E+06}</v>
      </c>
      <c r="Q47" s="34" t="str">
        <f t="shared" si="51"/>
        <v>\num{7.91E+06}</v>
      </c>
      <c r="R47" s="34">
        <f t="shared" si="39"/>
        <v>4.0479542796077364E-2</v>
      </c>
      <c r="AK47" s="35"/>
    </row>
    <row r="48" spans="1:44">
      <c r="A48">
        <f t="shared" ref="A48:B48" si="52">O22</f>
        <v>283317519.77488542</v>
      </c>
      <c r="B48">
        <f t="shared" si="52"/>
        <v>7384912.1090603964</v>
      </c>
      <c r="C48">
        <f t="shared" si="29"/>
        <v>1.8336200031837379E-14</v>
      </c>
      <c r="D48">
        <f t="shared" si="30"/>
        <v>5.1949667151163407E-6</v>
      </c>
      <c r="K48" s="4">
        <v>6</v>
      </c>
      <c r="L48" s="32" t="str">
        <f t="shared" ref="L48:M48" si="53">"\num{" &amp; B19 &amp; "}"</f>
        <v>\num{115}</v>
      </c>
      <c r="M48" s="32" t="str">
        <f t="shared" si="53"/>
        <v>\num{1435}</v>
      </c>
      <c r="N48" s="32" t="str">
        <f t="shared" ref="N48:O48" si="54">"\num{" &amp; TEXT(D19/0.001, "00.00") &amp; "}"</f>
        <v>\num{09.94}</v>
      </c>
      <c r="O48" s="32" t="str">
        <f t="shared" si="54"/>
        <v>\num{10.31}</v>
      </c>
      <c r="P48" s="33" t="str">
        <f t="shared" ref="P48:Q48" si="55">"\num{" &amp; TEXT(O18/1000000, "0.00") &amp; "E+06}"</f>
        <v>\num{286.35E+06}</v>
      </c>
      <c r="Q48" s="33" t="str">
        <f t="shared" si="55"/>
        <v>\num{7.46E+06}</v>
      </c>
      <c r="R48" s="33">
        <f t="shared" si="39"/>
        <v>4.1920808564440012E-2</v>
      </c>
      <c r="AK48" s="35"/>
    </row>
    <row r="49" spans="1:37">
      <c r="A49">
        <f t="shared" ref="A49:B49" si="56">O23</f>
        <v>293220069.0454452</v>
      </c>
      <c r="B49">
        <f t="shared" si="56"/>
        <v>7643030.4777261633</v>
      </c>
      <c r="C49">
        <f t="shared" si="29"/>
        <v>1.7118622587614315E-14</v>
      </c>
      <c r="D49">
        <f t="shared" si="30"/>
        <v>5.0195236971031871E-6</v>
      </c>
      <c r="K49" s="4">
        <v>7</v>
      </c>
      <c r="L49" s="31" t="str">
        <f t="shared" ref="L49:M49" si="57">"\num{" &amp; B20 &amp; "}"</f>
        <v>\num{100}</v>
      </c>
      <c r="M49" s="34" t="str">
        <f t="shared" si="57"/>
        <v>\num{977}</v>
      </c>
      <c r="N49" s="31" t="str">
        <f t="shared" ref="N49:O49" si="58">"\num{" &amp; TEXT(D20/0.001, "00.00") &amp; "}"</f>
        <v>\num{09.94}</v>
      </c>
      <c r="O49" s="34" t="str">
        <f t="shared" si="58"/>
        <v>\num{10.20}</v>
      </c>
      <c r="P49" s="34" t="str">
        <f t="shared" ref="P49:Q49" si="59">"\num{" &amp; TEXT(O19/1000000, "0.00") &amp; "E+06}"</f>
        <v>\num{300.46E+06}</v>
      </c>
      <c r="Q49" s="34" t="str">
        <f t="shared" si="59"/>
        <v>\num{7.83E+06}</v>
      </c>
      <c r="R49" s="34">
        <f t="shared" si="39"/>
        <v>4.0724348719269381E-2</v>
      </c>
      <c r="AK49" s="35"/>
    </row>
    <row r="50" spans="1:37">
      <c r="A50">
        <f t="shared" ref="A50:B50" si="60">O24</f>
        <v>288755753.12541312</v>
      </c>
      <c r="B50">
        <f t="shared" si="60"/>
        <v>7526664.2864552811</v>
      </c>
      <c r="C50">
        <f t="shared" si="29"/>
        <v>1.7652040245588465E-14</v>
      </c>
      <c r="D50">
        <f t="shared" si="30"/>
        <v>5.0971281753149998E-6</v>
      </c>
      <c r="K50" s="4">
        <v>8</v>
      </c>
      <c r="L50" s="32" t="str">
        <f t="shared" ref="L50:M50" si="61">"\num{" &amp; B21 &amp; "}"</f>
        <v>\num{107}</v>
      </c>
      <c r="M50" s="32" t="str">
        <f t="shared" si="61"/>
        <v>\num{900}</v>
      </c>
      <c r="N50" s="32" t="str">
        <f t="shared" ref="N50:O50" si="62">"\num{" &amp; TEXT(D21/0.001, "00.00") &amp; "}"</f>
        <v>\num{09.94}</v>
      </c>
      <c r="O50" s="32" t="str">
        <f t="shared" si="62"/>
        <v>\num{10.16}</v>
      </c>
      <c r="P50" s="33" t="str">
        <f t="shared" ref="P50:Q50" si="63">"\num{" &amp; TEXT(O20/1000000, "0.00") &amp; "E+06}"</f>
        <v>\num{284.08E+06}</v>
      </c>
      <c r="Q50" s="33" t="str">
        <f t="shared" si="63"/>
        <v>\num{7.40E+06}</v>
      </c>
      <c r="R50" s="33">
        <f t="shared" si="39"/>
        <v>4.212636160808432E-2</v>
      </c>
      <c r="AK50" s="35"/>
    </row>
    <row r="51" spans="1:37">
      <c r="A51">
        <f t="shared" ref="A51:B51" si="64">O25</f>
        <v>308340344.71470666</v>
      </c>
      <c r="B51">
        <f t="shared" si="64"/>
        <v>8037153.322550525</v>
      </c>
      <c r="C51">
        <f t="shared" si="29"/>
        <v>1.5480874622241862E-14</v>
      </c>
      <c r="D51">
        <f t="shared" si="30"/>
        <v>4.7733782175072101E-6</v>
      </c>
      <c r="K51" s="4">
        <v>9</v>
      </c>
      <c r="L51" s="31" t="str">
        <f t="shared" ref="L51:M51" si="65">"\num{" &amp; B22 &amp; "}"</f>
        <v>\num{109}</v>
      </c>
      <c r="M51" s="34" t="str">
        <f t="shared" si="65"/>
        <v>\num{950}</v>
      </c>
      <c r="N51" s="31" t="str">
        <f t="shared" ref="N51:O51" si="66">"\num{" &amp; TEXT(D22/0.001, "00.00") &amp; "}"</f>
        <v>\num{09.94}</v>
      </c>
      <c r="O51" s="34" t="str">
        <f t="shared" si="66"/>
        <v>\num{10.19}</v>
      </c>
      <c r="P51" s="34" t="str">
        <f t="shared" ref="P51:Q51" si="67">"\num{" &amp; TEXT(O21/1000000, "0.00") &amp; "E+06}"</f>
        <v>\num{303.58E+06}</v>
      </c>
      <c r="Q51" s="34" t="str">
        <f t="shared" si="67"/>
        <v>\num{7.91E+06}</v>
      </c>
      <c r="R51" s="34">
        <f t="shared" si="39"/>
        <v>4.0478243668851784E-2</v>
      </c>
      <c r="AK51" s="35"/>
    </row>
    <row r="52" spans="1:37">
      <c r="A52">
        <f t="shared" ref="A52:B52" si="68">O26</f>
        <v>306000888.3815161</v>
      </c>
      <c r="B52">
        <f t="shared" si="68"/>
        <v>7976173.4035630804</v>
      </c>
      <c r="C52">
        <f t="shared" si="29"/>
        <v>1.571849010049133E-14</v>
      </c>
      <c r="D52">
        <f t="shared" si="30"/>
        <v>4.8098719347664136E-6</v>
      </c>
      <c r="K52" s="4">
        <v>10</v>
      </c>
      <c r="L52" s="32" t="str">
        <f t="shared" ref="L52:M52" si="69">"\num{" &amp; B23 &amp; "}"</f>
        <v>\num{119}</v>
      </c>
      <c r="M52" s="32" t="str">
        <f t="shared" si="69"/>
        <v>\num{1442}</v>
      </c>
      <c r="N52" s="32" t="str">
        <f t="shared" ref="N52:O52" si="70">"\num{" &amp; TEXT(D23/0.001, "00.00") &amp; "}"</f>
        <v>\num{09.95}</v>
      </c>
      <c r="O52" s="32" t="str">
        <f t="shared" si="70"/>
        <v>\num{10.33}</v>
      </c>
      <c r="P52" s="33" t="str">
        <f t="shared" ref="P52:Q52" si="71">"\num{" &amp; TEXT(O22/1000000, "0.00") &amp; "E+06}"</f>
        <v>\num{283.32E+06}</v>
      </c>
      <c r="Q52" s="33" t="str">
        <f t="shared" si="71"/>
        <v>\num{7.38E+06}</v>
      </c>
      <c r="R52" s="33">
        <f t="shared" si="39"/>
        <v>4.2196547003282805E-2</v>
      </c>
      <c r="AK52" s="35"/>
    </row>
    <row r="53" spans="1:37">
      <c r="A53">
        <f t="shared" ref="A53:B53" si="72">O27</f>
        <v>300917312.99803823</v>
      </c>
      <c r="B53">
        <f t="shared" si="72"/>
        <v>7843665.687709162</v>
      </c>
      <c r="C53">
        <f t="shared" si="29"/>
        <v>1.6254059685727097E-14</v>
      </c>
      <c r="D53">
        <f t="shared" si="30"/>
        <v>4.8911279659387355E-6</v>
      </c>
      <c r="K53" s="4">
        <v>11</v>
      </c>
      <c r="L53" s="31" t="str">
        <f t="shared" ref="L53:M53" si="73">"\num{" &amp; B24 &amp; "}"</f>
        <v>\num{120}</v>
      </c>
      <c r="M53" s="34" t="str">
        <f t="shared" si="73"/>
        <v>\num{1440}</v>
      </c>
      <c r="N53" s="31" t="str">
        <f t="shared" ref="N53:O53" si="74">"\num{" &amp; TEXT(D24/0.001, "00.00") &amp; "}"</f>
        <v>\num{09.94}</v>
      </c>
      <c r="O53" s="34" t="str">
        <f t="shared" si="74"/>
        <v>\num{10.33}</v>
      </c>
      <c r="P53" s="34" t="str">
        <f t="shared" ref="P53:Q53" si="75">"\num{" &amp; TEXT(O23/1000000, "0.00") &amp; "E+06}"</f>
        <v>\num{293.22E+06}</v>
      </c>
      <c r="Q53" s="34" t="str">
        <f t="shared" si="75"/>
        <v>\num{7.64E+06}</v>
      </c>
      <c r="R53" s="34">
        <f t="shared" si="39"/>
        <v>4.1321071880073335E-2</v>
      </c>
      <c r="AK53" s="35"/>
    </row>
    <row r="54" spans="1:37">
      <c r="A54">
        <f t="shared" ref="A54:B54" si="76">O28</f>
        <v>299323953.54948729</v>
      </c>
      <c r="B54">
        <f t="shared" si="76"/>
        <v>7802133.418560965</v>
      </c>
      <c r="C54">
        <f t="shared" si="29"/>
        <v>1.6427567290427799E-14</v>
      </c>
      <c r="D54">
        <f t="shared" si="30"/>
        <v>4.9171643885710875E-6</v>
      </c>
      <c r="K54" s="4">
        <v>12</v>
      </c>
      <c r="L54" s="32" t="str">
        <f t="shared" ref="L54:M54" si="77">"\num{" &amp; B25 &amp; "}"</f>
        <v>\num{102}</v>
      </c>
      <c r="M54" s="32" t="str">
        <f t="shared" si="77"/>
        <v>\num{1420}</v>
      </c>
      <c r="N54" s="32" t="str">
        <f t="shared" ref="N54:O54" si="78">"\num{" &amp; TEXT(D25/0.001, "00.00") &amp; "}"</f>
        <v>\num{09.94}</v>
      </c>
      <c r="O54" s="32" t="str">
        <f t="shared" si="78"/>
        <v>\num{10.30}</v>
      </c>
      <c r="P54" s="33" t="str">
        <f t="shared" ref="P54:Q54" si="79">"\num{" &amp; TEXT(O24/1000000, "0.00") &amp; "E+06}"</f>
        <v>\num{288.76E+06}</v>
      </c>
      <c r="Q54" s="33" t="str">
        <f t="shared" si="79"/>
        <v>\num{7.53E+06}</v>
      </c>
      <c r="R54" s="33">
        <f t="shared" si="39"/>
        <v>4.1706877364364563E-2</v>
      </c>
      <c r="AK54" s="35"/>
    </row>
    <row r="55" spans="1:37">
      <c r="A55">
        <f t="shared" ref="A55:B55" si="80">O29</f>
        <v>295658028.80319279</v>
      </c>
      <c r="B55">
        <f t="shared" si="80"/>
        <v>7706577.9722499661</v>
      </c>
      <c r="C55">
        <f t="shared" si="29"/>
        <v>1.6837470444962877E-14</v>
      </c>
      <c r="D55">
        <f t="shared" si="30"/>
        <v>4.9781333217897421E-6</v>
      </c>
      <c r="K55" s="4">
        <v>13</v>
      </c>
      <c r="L55" s="31" t="str">
        <f t="shared" ref="L55:M55" si="81">"\num{" &amp; B26 &amp; "}"</f>
        <v>\num{127}</v>
      </c>
      <c r="M55" s="34" t="str">
        <f t="shared" si="81"/>
        <v>\num{1435}</v>
      </c>
      <c r="N55" s="31" t="str">
        <f t="shared" ref="N55:O55" si="82">"\num{" &amp; TEXT(D26/0.001, "00.00") &amp; "}"</f>
        <v>\num{09.95}</v>
      </c>
      <c r="O55" s="34" t="str">
        <f t="shared" si="82"/>
        <v>\num{10.31}</v>
      </c>
      <c r="P55" s="34" t="str">
        <f t="shared" ref="P55:Q55" si="83">"\num{" &amp; TEXT(O25/1000000, "0.00") &amp; "E+06}"</f>
        <v>\num{308.34E+06}</v>
      </c>
      <c r="Q55" s="34" t="str">
        <f t="shared" si="83"/>
        <v>\num{8.04E+06}</v>
      </c>
      <c r="R55" s="34">
        <f t="shared" si="39"/>
        <v>4.0113357236289782E-2</v>
      </c>
    </row>
    <row r="56" spans="1:37">
      <c r="A56">
        <f t="shared" ref="A56:B56" si="84">O30</f>
        <v>298982519.38194001</v>
      </c>
      <c r="B56">
        <f t="shared" si="84"/>
        <v>7793233.6466006227</v>
      </c>
      <c r="C56">
        <f t="shared" si="29"/>
        <v>1.646510885264719E-14</v>
      </c>
      <c r="D56">
        <f t="shared" si="30"/>
        <v>4.9227797266623409E-6</v>
      </c>
      <c r="K56" s="4">
        <v>14</v>
      </c>
      <c r="L56" s="32" t="str">
        <f t="shared" ref="L56:M56" si="85">"\num{" &amp; B27 &amp; "}"</f>
        <v>\num{114}</v>
      </c>
      <c r="M56" s="32" t="str">
        <f t="shared" si="85"/>
        <v>\num{1436}</v>
      </c>
      <c r="N56" s="32" t="str">
        <f t="shared" ref="N56:O56" si="86">"\num{" &amp; TEXT(D27/0.001, "00.00") &amp; "}"</f>
        <v>\num{09.94}</v>
      </c>
      <c r="O56" s="32" t="str">
        <f t="shared" si="86"/>
        <v>\num{10.31}</v>
      </c>
      <c r="P56" s="33" t="str">
        <f t="shared" ref="P56:Q56" si="87">"\num{" &amp; TEXT(O26/1000000, "0.00") &amp; "E+06}"</f>
        <v>\num{306.00E+06}</v>
      </c>
      <c r="Q56" s="33" t="str">
        <f t="shared" si="87"/>
        <v>\num{7.98E+06}</v>
      </c>
      <c r="R56" s="33">
        <f t="shared" si="39"/>
        <v>4.0290825787334478E-2</v>
      </c>
    </row>
    <row r="57" spans="1:37">
      <c r="A57">
        <f t="shared" ref="A57:B57" si="88">O31</f>
        <v>289230680.35094941</v>
      </c>
      <c r="B57">
        <f t="shared" si="88"/>
        <v>7539043.6685054004</v>
      </c>
      <c r="C57">
        <f t="shared" si="29"/>
        <v>1.7594117264958746E-14</v>
      </c>
      <c r="D57">
        <f t="shared" si="30"/>
        <v>5.0887585067184029E-6</v>
      </c>
      <c r="K57" s="4">
        <v>15</v>
      </c>
      <c r="L57" s="31" t="str">
        <f t="shared" ref="L57:M57" si="89">"\num{" &amp; B28 &amp; "}"</f>
        <v>\num{107}</v>
      </c>
      <c r="M57" s="34" t="str">
        <f t="shared" si="89"/>
        <v>\num{1422}</v>
      </c>
      <c r="N57" s="31" t="str">
        <f t="shared" ref="N57:O57" si="90">"\num{" &amp; TEXT(D28/0.001, "00.00") &amp; "}"</f>
        <v>\num{09.95}</v>
      </c>
      <c r="O57" s="34" t="str">
        <f t="shared" si="90"/>
        <v>\num{10.32}</v>
      </c>
      <c r="P57" s="34" t="str">
        <f t="shared" ref="P57:Q57" si="91">"\num{" &amp; TEXT(O27/1000000, "0.00") &amp; "E+06}"</f>
        <v>\num{300.92E+06}</v>
      </c>
      <c r="Q57" s="34" t="str">
        <f t="shared" si="91"/>
        <v>\num{7.84E+06}</v>
      </c>
      <c r="R57" s="34">
        <f t="shared" si="39"/>
        <v>4.0687989722861112E-2</v>
      </c>
    </row>
    <row r="58" spans="1:37">
      <c r="A58">
        <f t="shared" ref="A58:B58" si="92">O32</f>
        <v>292776803.63494575</v>
      </c>
      <c r="B58">
        <f t="shared" si="92"/>
        <v>7631476.3878127467</v>
      </c>
      <c r="C58">
        <f t="shared" si="29"/>
        <v>1.7170497171789299E-14</v>
      </c>
      <c r="D58">
        <f t="shared" si="30"/>
        <v>5.027123278779347E-6</v>
      </c>
      <c r="K58" s="4">
        <v>16</v>
      </c>
      <c r="L58" s="32" t="str">
        <f t="shared" ref="L58:M58" si="93">"\num{" &amp; B29 &amp; "}"</f>
        <v>\num{109}</v>
      </c>
      <c r="M58" s="32" t="str">
        <f t="shared" si="93"/>
        <v>\num{1443}</v>
      </c>
      <c r="N58" s="32" t="str">
        <f t="shared" ref="N58:O58" si="94">"\num{" &amp; TEXT(D29/0.001, "00.00") &amp; "}"</f>
        <v>\num{09.95}</v>
      </c>
      <c r="O58" s="32" t="str">
        <f t="shared" si="94"/>
        <v>\num{10.33}</v>
      </c>
      <c r="P58" s="33" t="str">
        <f t="shared" ref="P58:Q58" si="95">"\num{" &amp; TEXT(O28/1000000, "0.00") &amp; "E+06}"</f>
        <v>\num{299.32E+06}</v>
      </c>
      <c r="Q58" s="33" t="str">
        <f t="shared" si="95"/>
        <v>\num{7.80E+06}</v>
      </c>
      <c r="R58" s="33">
        <f t="shared" si="39"/>
        <v>4.081582946158295E-2</v>
      </c>
    </row>
    <row r="59" spans="1:37">
      <c r="C59">
        <f>SUM(C39:C58)</f>
        <v>3.3195548110321956E-13</v>
      </c>
      <c r="D59">
        <f>SUM(D39:D58)</f>
        <v>9.8786984975298778E-5</v>
      </c>
      <c r="K59" s="4">
        <v>17</v>
      </c>
      <c r="L59" s="31" t="str">
        <f t="shared" ref="L59:M59" si="96">"\num{" &amp; B30 &amp; "}"</f>
        <v>\num{144}</v>
      </c>
      <c r="M59" s="34" t="str">
        <f t="shared" si="96"/>
        <v>\num{1422}</v>
      </c>
      <c r="N59" s="31" t="str">
        <f t="shared" ref="N59:O59" si="97">"\num{" &amp; TEXT(D30/0.001, "00.00") &amp; "}"</f>
        <v>\num{09.96}</v>
      </c>
      <c r="O59" s="34" t="str">
        <f t="shared" si="97"/>
        <v>\num{10.32}</v>
      </c>
      <c r="P59" s="34" t="str">
        <f t="shared" ref="P59:Q59" si="98">"\num{" &amp; TEXT(O29/1000000, "0.00") &amp; "E+06}"</f>
        <v>\num{295.66E+06}</v>
      </c>
      <c r="Q59" s="34" t="str">
        <f t="shared" si="98"/>
        <v>\num{7.71E+06}</v>
      </c>
      <c r="R59" s="34">
        <f t="shared" si="39"/>
        <v>4.1116265840516759E-2</v>
      </c>
    </row>
    <row r="60" spans="1:37">
      <c r="K60" s="4">
        <v>18</v>
      </c>
      <c r="L60" s="32" t="str">
        <f t="shared" ref="L60:M60" si="99">"\num{" &amp; B31 &amp; "}"</f>
        <v>\num{128}</v>
      </c>
      <c r="M60" s="32" t="str">
        <f t="shared" si="99"/>
        <v>\num{1433}</v>
      </c>
      <c r="N60" s="32" t="str">
        <f t="shared" ref="N60:O60" si="100">"\num{" &amp; TEXT(D31/0.001, "00.00") &amp; "}"</f>
        <v>\num{09.94}</v>
      </c>
      <c r="O60" s="32" t="str">
        <f t="shared" si="100"/>
        <v>\num{10.32}</v>
      </c>
      <c r="P60" s="33" t="str">
        <f t="shared" ref="P60:Q60" si="101">"\num{" &amp; TEXT(O30/1000000, "0.00") &amp; "E+06}"</f>
        <v>\num{298.98E+06}</v>
      </c>
      <c r="Q60" s="33" t="str">
        <f t="shared" si="101"/>
        <v>\num{7.79E+06}</v>
      </c>
      <c r="R60" s="33">
        <f t="shared" si="39"/>
        <v>4.0843437286045024E-2</v>
      </c>
    </row>
    <row r="61" spans="1:37">
      <c r="K61" s="4">
        <v>19</v>
      </c>
      <c r="L61" s="31" t="str">
        <f t="shared" ref="L61:M61" si="102">"\num{" &amp; B32 &amp; "}"</f>
        <v>\num{119}</v>
      </c>
      <c r="M61" s="34" t="str">
        <f t="shared" si="102"/>
        <v>\num{1440}</v>
      </c>
      <c r="N61" s="31" t="str">
        <f t="shared" ref="N61:O61" si="103">"\num{" &amp; TEXT(D32/0.001, "00.00") &amp; "}"</f>
        <v>\num{09.95}</v>
      </c>
      <c r="O61" s="34" t="str">
        <f t="shared" si="103"/>
        <v>\num{10.33}</v>
      </c>
      <c r="P61" s="34" t="str">
        <f t="shared" ref="P61:Q61" si="104">"\num{" &amp; TEXT(O31/1000000, "0.00") &amp; "E+06}"</f>
        <v>\num{289.23E+06}</v>
      </c>
      <c r="Q61" s="34" t="str">
        <f t="shared" si="104"/>
        <v>\num{7.54E+06}</v>
      </c>
      <c r="R61" s="34">
        <f t="shared" si="39"/>
        <v>4.1665156257021836E-2</v>
      </c>
    </row>
    <row r="62" spans="1:37">
      <c r="B62" t="s">
        <v>58</v>
      </c>
      <c r="C62" t="s">
        <v>59</v>
      </c>
      <c r="D62" t="s">
        <v>74</v>
      </c>
      <c r="E62" t="s">
        <v>60</v>
      </c>
      <c r="F62" t="s">
        <v>75</v>
      </c>
      <c r="G62" t="s">
        <v>62</v>
      </c>
      <c r="H62" t="s">
        <v>65</v>
      </c>
    </row>
    <row r="63" spans="1:37">
      <c r="B63">
        <f>D59/C59</f>
        <v>297591064.4613865</v>
      </c>
      <c r="C63">
        <f>SQRT(1/C59)</f>
        <v>1735641.7089090352</v>
      </c>
      <c r="D63">
        <f>C63/B63</f>
        <v>5.8323045150915171E-3</v>
      </c>
      <c r="E63">
        <f>P37</f>
        <v>2156820.2864050595</v>
      </c>
      <c r="F63">
        <f>E63/B63</f>
        <v>7.2475976061603647E-3</v>
      </c>
      <c r="G63">
        <f>SQRT(C63^2+E63^2)</f>
        <v>2768451.8940290581</v>
      </c>
      <c r="H63">
        <f>G63/B63</f>
        <v>9.3028730517823541E-3</v>
      </c>
    </row>
    <row r="65" spans="2:2">
      <c r="B65" t="s">
        <v>36</v>
      </c>
    </row>
    <row r="66" spans="2:2">
      <c r="B66">
        <f>(B63-B10)/G63</f>
        <v>-0.76594122097546169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zoomScaleNormal="100" workbookViewId="0">
      <selection activeCell="B10" sqref="B10"/>
    </sheetView>
  </sheetViews>
  <sheetFormatPr defaultRowHeight="15"/>
  <cols>
    <col min="1" max="1" width="14.5703125" customWidth="1"/>
    <col min="2" max="2" width="16.5703125" customWidth="1"/>
    <col min="3" max="3" width="13.7109375" customWidth="1"/>
    <col min="4" max="5" width="13.5703125" customWidth="1"/>
    <col min="6" max="8" width="9.140625" customWidth="1"/>
    <col min="9" max="9" width="11.42578125" customWidth="1"/>
    <col min="11" max="12" width="11.85546875" customWidth="1"/>
    <col min="13" max="13" width="14.42578125" bestFit="1" customWidth="1"/>
    <col min="14" max="14" width="9" customWidth="1"/>
    <col min="15" max="15" width="12.28515625" customWidth="1"/>
    <col min="16" max="16" width="15.5703125" bestFit="1" customWidth="1"/>
    <col min="17" max="17" width="15.85546875" customWidth="1"/>
    <col min="18" max="18" width="15.5703125" customWidth="1"/>
    <col min="20" max="21" width="9.28515625" customWidth="1"/>
    <col min="22" max="24" width="11.85546875" customWidth="1"/>
    <col min="25" max="25" width="12" customWidth="1"/>
    <col min="26" max="26" width="11.85546875" customWidth="1"/>
    <col min="27" max="27" width="9.85546875" customWidth="1"/>
    <col min="28" max="30" width="11.85546875" customWidth="1"/>
    <col min="31" max="44" width="9.140625" customWidth="1"/>
  </cols>
  <sheetData>
    <row r="1" spans="1:34">
      <c r="A1" t="s">
        <v>0</v>
      </c>
      <c r="C1" t="s">
        <v>17</v>
      </c>
      <c r="E1" t="s">
        <v>38</v>
      </c>
    </row>
    <row r="2" spans="1:34">
      <c r="A2" t="s">
        <v>1</v>
      </c>
      <c r="B2" s="1">
        <f>Sheet1!B8</f>
        <v>0.252</v>
      </c>
      <c r="C2" s="1">
        <f>Sheet1!C8</f>
        <v>2.52E-4</v>
      </c>
      <c r="E2" s="1"/>
    </row>
    <row r="3" spans="1:34">
      <c r="A3" t="s">
        <v>2</v>
      </c>
      <c r="B3" s="1">
        <f>Sheet1!B6</f>
        <v>13.52</v>
      </c>
      <c r="C3" s="1">
        <f>Sheet1!C6</f>
        <v>0.34641016151377546</v>
      </c>
      <c r="E3" s="1"/>
    </row>
    <row r="4" spans="1:34">
      <c r="A4" t="s">
        <v>3</v>
      </c>
      <c r="B4" s="1">
        <f>Sheet1!B7</f>
        <v>0.47799999999999998</v>
      </c>
      <c r="C4" s="1">
        <f>Sheet1!C7</f>
        <v>5.0990195135927853E-3</v>
      </c>
      <c r="E4" s="1"/>
    </row>
    <row r="5" spans="1:34">
      <c r="A5" t="s">
        <v>4</v>
      </c>
      <c r="B5" s="1">
        <f>B4+B3</f>
        <v>13.997999999999999</v>
      </c>
      <c r="C5">
        <f>SQRT(C4^2+C3^2)</f>
        <v>0.34644768724873887</v>
      </c>
    </row>
    <row r="6" spans="1:34">
      <c r="A6" t="s">
        <v>5</v>
      </c>
      <c r="B6" s="1">
        <f>B3^2</f>
        <v>182.79039999999998</v>
      </c>
      <c r="C6" s="1">
        <f>2*B3*C3</f>
        <v>9.3669307673324873</v>
      </c>
    </row>
    <row r="7" spans="1:34">
      <c r="A7" t="s">
        <v>10</v>
      </c>
      <c r="B7">
        <v>0</v>
      </c>
    </row>
    <row r="8" spans="1:34">
      <c r="A8" t="s">
        <v>11</v>
      </c>
      <c r="B8">
        <v>0</v>
      </c>
    </row>
    <row r="9" spans="1:34">
      <c r="A9" t="s">
        <v>12</v>
      </c>
      <c r="B9" s="1">
        <f>0.00001*SQRT(2)</f>
        <v>1.4142135623730953E-5</v>
      </c>
      <c r="C9" s="1"/>
      <c r="E9" s="1"/>
      <c r="S9" s="2"/>
    </row>
    <row r="10" spans="1:34" ht="15.75" thickBot="1">
      <c r="A10" t="s">
        <v>0</v>
      </c>
      <c r="B10">
        <f>299792458/1.00027</f>
        <v>299711535.88531095</v>
      </c>
      <c r="S10" s="35">
        <f>SUM(T13:T22)</f>
        <v>9.8830977753231366</v>
      </c>
      <c r="T10">
        <f>S10/(COUNT(T13:T22)-2)</f>
        <v>1.2353872219153921</v>
      </c>
      <c r="U10" s="38"/>
      <c r="V10" s="13"/>
      <c r="W10" s="6" t="s">
        <v>20</v>
      </c>
      <c r="X10" s="6">
        <f t="array" ref="X10:AG12">TRANSPOSE(U13:W22)</f>
        <v>1</v>
      </c>
      <c r="Y10" s="6">
        <v>2</v>
      </c>
      <c r="Z10" s="6">
        <v>3</v>
      </c>
      <c r="AA10" s="6">
        <v>4</v>
      </c>
      <c r="AB10" s="6">
        <v>5</v>
      </c>
      <c r="AC10" s="6">
        <v>6</v>
      </c>
      <c r="AD10" s="6">
        <v>7</v>
      </c>
      <c r="AE10" s="6">
        <v>8</v>
      </c>
      <c r="AF10" s="6">
        <v>9</v>
      </c>
      <c r="AG10" s="6">
        <v>10</v>
      </c>
    </row>
    <row r="11" spans="1:34">
      <c r="I11" t="s">
        <v>14</v>
      </c>
      <c r="U11" s="12"/>
      <c r="V11" s="8" t="s">
        <v>18</v>
      </c>
      <c r="W11" s="9"/>
      <c r="X11" s="9">
        <v>15889872.34006051</v>
      </c>
      <c r="Y11" s="9">
        <v>15480056.139716133</v>
      </c>
      <c r="Z11" s="9">
        <v>15813142.428932952</v>
      </c>
      <c r="AA11" s="9">
        <v>15475385.644453466</v>
      </c>
      <c r="AB11" s="9">
        <v>15492782.512805454</v>
      </c>
      <c r="AC11" s="9">
        <v>15838245.516928516</v>
      </c>
      <c r="AD11" s="9">
        <v>15827253.851627467</v>
      </c>
      <c r="AE11" s="9">
        <v>15679652.540733563</v>
      </c>
      <c r="AF11" s="9">
        <v>15953301.007862316</v>
      </c>
      <c r="AG11" s="9">
        <v>15743852.68255784</v>
      </c>
    </row>
    <row r="12" spans="1:34" ht="15.75" thickBot="1">
      <c r="B12" t="s">
        <v>6</v>
      </c>
      <c r="C12" t="s">
        <v>7</v>
      </c>
      <c r="D12" t="s">
        <v>31</v>
      </c>
      <c r="E12" t="s">
        <v>32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42</v>
      </c>
      <c r="Q12" t="s">
        <v>43</v>
      </c>
      <c r="R12" t="s">
        <v>35</v>
      </c>
      <c r="S12" t="s">
        <v>36</v>
      </c>
      <c r="T12" t="s">
        <v>110</v>
      </c>
      <c r="U12" s="5" t="s">
        <v>20</v>
      </c>
      <c r="V12" s="7"/>
      <c r="W12" s="4" t="s">
        <v>19</v>
      </c>
      <c r="X12" s="10">
        <v>321641825.00914192</v>
      </c>
      <c r="Y12" s="10">
        <v>290743564.46939451</v>
      </c>
      <c r="Z12" s="10">
        <v>316027129.80948102</v>
      </c>
      <c r="AA12" s="10">
        <v>290377388.69550353</v>
      </c>
      <c r="AB12" s="10">
        <v>291739562.57437664</v>
      </c>
      <c r="AC12" s="10">
        <v>317871958.23222727</v>
      </c>
      <c r="AD12" s="10">
        <v>317065140.68672943</v>
      </c>
      <c r="AE12" s="10">
        <v>306081098.31293952</v>
      </c>
      <c r="AF12" s="10">
        <v>326230304.90970522</v>
      </c>
      <c r="AG12" s="10">
        <v>310893694.19836313</v>
      </c>
      <c r="AH12" t="s">
        <v>44</v>
      </c>
    </row>
    <row r="13" spans="1:34" ht="15.75" thickTop="1">
      <c r="A13">
        <v>1</v>
      </c>
      <c r="B13">
        <v>118</v>
      </c>
      <c r="C13">
        <v>920</v>
      </c>
      <c r="D13" s="1">
        <v>9.8700000000000003E-3</v>
      </c>
      <c r="E13" s="1">
        <v>9.6600000000000002E-3</v>
      </c>
      <c r="F13">
        <f>ABS(E13-D13)</f>
        <v>2.1000000000000012E-4</v>
      </c>
      <c r="G13">
        <f>2*PI()*B13</f>
        <v>741.41586624719116</v>
      </c>
      <c r="H13">
        <f>2*PI()*C13</f>
        <v>5780.5304826052197</v>
      </c>
      <c r="K13">
        <f>((4*$B$3*(2*$B$4+$B$3-2*$B$2)*$B$2*(H13-G13))/(($B$5-$B$2)^2*F13)*$C$3)^2</f>
        <v>70167721285336.797</v>
      </c>
      <c r="L13">
        <f>((4*$B$6*$B$2*(G13-H13)/(($B$5-$B$2)^2*F13))*$C$4)^2</f>
        <v>14235269846.713762</v>
      </c>
      <c r="M13">
        <f>((4*$B$6*$B$5*(H13-G13)/(($B$5-$B$2)^2*F13))*$C$2)^2</f>
        <v>107281375837.90616</v>
      </c>
      <c r="O13">
        <f>4*$B$2*$B$6*ABS(H13-G13)/(($B$5-$B$2)*F13)</f>
        <v>321641825.00914192</v>
      </c>
      <c r="P13">
        <f>SQRT(K13+L13+M13)</f>
        <v>8383867.7190793874</v>
      </c>
      <c r="Q13">
        <f>SQRT(P13^2+$N$26^2)</f>
        <v>15889872.34006051</v>
      </c>
      <c r="R13" s="2">
        <f>Q13/O13</f>
        <v>4.9402382105029022E-2</v>
      </c>
      <c r="S13" s="2">
        <f>(O13-$B$10)/Q13</f>
        <v>1.3801425621615449</v>
      </c>
      <c r="T13" s="35">
        <f>S13^2</f>
        <v>1.9047934918898337</v>
      </c>
      <c r="U13" s="5">
        <v>1</v>
      </c>
      <c r="V13" s="7">
        <f>Q13</f>
        <v>15889872.34006051</v>
      </c>
      <c r="W13" s="11">
        <f t="shared" ref="W13:W22" si="0">O13</f>
        <v>321641825.00914192</v>
      </c>
      <c r="X13" s="16">
        <f t="shared" ref="X13:AG22" si="1">ABS(($W13-X$12)/SQRT($V13^2+X$11^2))</f>
        <v>0</v>
      </c>
      <c r="Y13" s="17">
        <f t="shared" si="1"/>
        <v>1.3928310612735135</v>
      </c>
      <c r="Z13" s="17">
        <f t="shared" si="1"/>
        <v>0.25046056034968217</v>
      </c>
      <c r="AA13" s="17">
        <f t="shared" si="1"/>
        <v>1.4095445905218222</v>
      </c>
      <c r="AB13" s="17">
        <f t="shared" si="1"/>
        <v>1.3473939812648905</v>
      </c>
      <c r="AC13" s="17">
        <f t="shared" si="1"/>
        <v>0.1680335937490747</v>
      </c>
      <c r="AD13" s="17">
        <f t="shared" si="1"/>
        <v>0.20406629485778444</v>
      </c>
      <c r="AE13" s="17">
        <f t="shared" si="1"/>
        <v>0.69705524358884308</v>
      </c>
      <c r="AF13" s="17">
        <f t="shared" si="1"/>
        <v>0.20378237940730048</v>
      </c>
      <c r="AG13" s="17">
        <f t="shared" si="1"/>
        <v>0.48049954343920054</v>
      </c>
      <c r="AH13">
        <f>$B$10</f>
        <v>299711535.88531095</v>
      </c>
    </row>
    <row r="14" spans="1:34">
      <c r="A14">
        <v>2</v>
      </c>
      <c r="B14">
        <v>114</v>
      </c>
      <c r="C14">
        <v>908</v>
      </c>
      <c r="D14" s="1">
        <v>9.8799999999999999E-3</v>
      </c>
      <c r="E14" s="1">
        <v>9.6500000000000006E-3</v>
      </c>
      <c r="F14">
        <f t="shared" ref="F14:F22" si="2">ABS(E14-D14)</f>
        <v>2.299999999999993E-4</v>
      </c>
      <c r="G14">
        <f t="shared" ref="G14:H22" si="3">2*PI()*B14</f>
        <v>716.28312501847279</v>
      </c>
      <c r="H14">
        <f t="shared" si="3"/>
        <v>5705.132258919064</v>
      </c>
      <c r="K14">
        <f t="shared" ref="K14:K22" si="4">((4*$B$3*(2*$B$4+$B$3-2*$B$2)*$B$2*(H14-G14))/(($B$5-$B$2)^2*F14)*$C$3)^2</f>
        <v>57334041790841.055</v>
      </c>
      <c r="L14">
        <f t="shared" ref="L14:L22" si="5">((4*$B$6*$B$2*(G14-H14)/(($B$5-$B$2)^2*F14))*$C$4)^2</f>
        <v>11631638328.063295</v>
      </c>
      <c r="M14">
        <f t="shared" ref="M14:M22" si="6">((4*$B$6*$B$5*(H14-G14)/(($B$5-$B$2)^2*F14))*$C$2)^2</f>
        <v>87659607195.407196</v>
      </c>
      <c r="O14">
        <f t="shared" ref="O14:O22" si="7">4*$B$2*$B$6*ABS(H14-G14)/(($B$5-$B$2)*F14)</f>
        <v>290743564.46939451</v>
      </c>
      <c r="P14">
        <f t="shared" ref="P14:P22" si="8">SQRT(K14+L14+M14)</f>
        <v>7578478.2797316592</v>
      </c>
      <c r="Q14">
        <f t="shared" ref="Q14:Q22" si="9">SQRT(P14^2+$N$26^2)</f>
        <v>15480056.139716133</v>
      </c>
      <c r="R14" s="2">
        <f t="shared" ref="R14:R22" si="10">Q14/O14</f>
        <v>5.3242988088032683E-2</v>
      </c>
      <c r="S14" s="2">
        <f t="shared" ref="S14:S22" si="11">(O14-$B$10)/Q14</f>
        <v>-0.57932421788238386</v>
      </c>
      <c r="T14" s="35">
        <f t="shared" ref="T14:T22" si="12">S14^2</f>
        <v>0.33561654942503577</v>
      </c>
      <c r="U14" s="5">
        <v>2</v>
      </c>
      <c r="V14" s="7">
        <f t="shared" ref="V14:V22" si="13">Q14</f>
        <v>15480056.139716133</v>
      </c>
      <c r="W14" s="11">
        <f t="shared" si="0"/>
        <v>290743564.46939451</v>
      </c>
      <c r="X14" s="18">
        <f t="shared" si="1"/>
        <v>1.3928310612735135</v>
      </c>
      <c r="Y14" s="19">
        <f t="shared" si="1"/>
        <v>0</v>
      </c>
      <c r="Z14" s="19">
        <f t="shared" si="1"/>
        <v>1.1425593194307782</v>
      </c>
      <c r="AA14" s="19">
        <f t="shared" si="1"/>
        <v>1.6728908066163683E-2</v>
      </c>
      <c r="AB14" s="19">
        <f t="shared" si="1"/>
        <v>4.5477068636281856E-2</v>
      </c>
      <c r="AC14" s="19">
        <f t="shared" si="1"/>
        <v>1.2249333899179762</v>
      </c>
      <c r="AD14" s="19">
        <f t="shared" si="1"/>
        <v>1.1889249258683185</v>
      </c>
      <c r="AE14" s="19">
        <f t="shared" si="1"/>
        <v>0.69609454991666819</v>
      </c>
      <c r="AF14" s="19">
        <f t="shared" si="1"/>
        <v>1.5963978198190412</v>
      </c>
      <c r="AG14" s="19">
        <f t="shared" si="1"/>
        <v>0.91262019595028476</v>
      </c>
      <c r="AH14">
        <f t="shared" ref="AH14:AH22" si="14">$B$10</f>
        <v>299711535.88531095</v>
      </c>
    </row>
    <row r="15" spans="1:34">
      <c r="A15">
        <v>3</v>
      </c>
      <c r="B15">
        <v>127</v>
      </c>
      <c r="C15">
        <v>915</v>
      </c>
      <c r="D15" s="1">
        <v>9.8600000000000007E-3</v>
      </c>
      <c r="E15" s="1">
        <v>9.6500000000000006E-3</v>
      </c>
      <c r="F15">
        <f t="shared" si="2"/>
        <v>2.1000000000000012E-4</v>
      </c>
      <c r="G15">
        <f t="shared" si="3"/>
        <v>797.96453401180747</v>
      </c>
      <c r="H15">
        <f t="shared" si="3"/>
        <v>5749.1145560693212</v>
      </c>
      <c r="K15">
        <f t="shared" si="4"/>
        <v>67739357226948.445</v>
      </c>
      <c r="L15">
        <f t="shared" si="5"/>
        <v>13742615717.094149</v>
      </c>
      <c r="M15">
        <f t="shared" si="6"/>
        <v>103568582655.41373</v>
      </c>
      <c r="O15">
        <f t="shared" si="7"/>
        <v>316027129.80948102</v>
      </c>
      <c r="P15">
        <f t="shared" si="8"/>
        <v>8237515.9135094211</v>
      </c>
      <c r="Q15">
        <f t="shared" si="9"/>
        <v>15813142.428932952</v>
      </c>
      <c r="R15" s="2">
        <f t="shared" si="10"/>
        <v>5.0037294071765312E-2</v>
      </c>
      <c r="S15" s="2">
        <f t="shared" si="11"/>
        <v>1.0317742977080762</v>
      </c>
      <c r="T15" s="35">
        <f t="shared" si="12"/>
        <v>1.0645582014109938</v>
      </c>
      <c r="U15" s="5">
        <v>3</v>
      </c>
      <c r="V15" s="7">
        <f t="shared" si="13"/>
        <v>15813142.428932952</v>
      </c>
      <c r="W15" s="11">
        <f t="shared" si="0"/>
        <v>316027129.80948102</v>
      </c>
      <c r="X15" s="20">
        <f t="shared" si="1"/>
        <v>0.25046056034968217</v>
      </c>
      <c r="Y15" s="21">
        <f t="shared" si="1"/>
        <v>1.1425593194307782</v>
      </c>
      <c r="Z15" s="21">
        <f t="shared" si="1"/>
        <v>0</v>
      </c>
      <c r="AA15" s="21">
        <f t="shared" si="1"/>
        <v>1.1592778777156771</v>
      </c>
      <c r="AB15" s="21">
        <f t="shared" si="1"/>
        <v>1.0971088942841449</v>
      </c>
      <c r="AC15" s="21">
        <f t="shared" si="1"/>
        <v>8.2428630289551552E-2</v>
      </c>
      <c r="AD15" s="21">
        <f t="shared" si="1"/>
        <v>4.6395402304116137E-2</v>
      </c>
      <c r="AE15" s="21">
        <f t="shared" si="1"/>
        <v>0.44663188166000328</v>
      </c>
      <c r="AF15" s="21">
        <f t="shared" si="1"/>
        <v>0.45423178035375633</v>
      </c>
      <c r="AG15" s="21">
        <f t="shared" si="1"/>
        <v>0.23005221939404505</v>
      </c>
      <c r="AH15">
        <f t="shared" si="14"/>
        <v>299711535.88531095</v>
      </c>
    </row>
    <row r="16" spans="1:34">
      <c r="A16">
        <v>4</v>
      </c>
      <c r="B16">
        <v>115</v>
      </c>
      <c r="C16">
        <v>908</v>
      </c>
      <c r="D16" s="1">
        <v>9.8799999999999999E-3</v>
      </c>
      <c r="E16" s="1">
        <v>9.6500000000000006E-3</v>
      </c>
      <c r="F16">
        <f t="shared" si="2"/>
        <v>2.299999999999993E-4</v>
      </c>
      <c r="G16">
        <f t="shared" si="3"/>
        <v>722.56631032565247</v>
      </c>
      <c r="H16">
        <f t="shared" si="3"/>
        <v>5705.132258919064</v>
      </c>
      <c r="K16">
        <f t="shared" si="4"/>
        <v>57189714493031.195</v>
      </c>
      <c r="L16">
        <f t="shared" si="5"/>
        <v>11602357941.114208</v>
      </c>
      <c r="M16">
        <f t="shared" si="6"/>
        <v>87438941185.504349</v>
      </c>
      <c r="O16">
        <f t="shared" si="7"/>
        <v>290377388.69550353</v>
      </c>
      <c r="P16">
        <f t="shared" si="8"/>
        <v>7568933.5967597058</v>
      </c>
      <c r="Q16">
        <f>SQRT(P16^2+$N$26^2)</f>
        <v>15475385.644453466</v>
      </c>
      <c r="R16" s="2">
        <f t="shared" si="10"/>
        <v>5.329404508379719E-2</v>
      </c>
      <c r="S16" s="2">
        <f t="shared" si="11"/>
        <v>-0.6031608778132691</v>
      </c>
      <c r="T16" s="35">
        <f t="shared" si="12"/>
        <v>0.36380304452447332</v>
      </c>
      <c r="U16" s="5">
        <v>4</v>
      </c>
      <c r="V16" s="7">
        <f t="shared" si="13"/>
        <v>15475385.644453466</v>
      </c>
      <c r="W16" s="11">
        <f t="shared" si="0"/>
        <v>290377388.69550353</v>
      </c>
      <c r="X16" s="18">
        <f t="shared" si="1"/>
        <v>1.4095445905218222</v>
      </c>
      <c r="Y16" s="19">
        <f t="shared" si="1"/>
        <v>1.6728908066163683E-2</v>
      </c>
      <c r="Z16" s="19">
        <f t="shared" si="1"/>
        <v>1.1592778777156771</v>
      </c>
      <c r="AA16" s="19">
        <f t="shared" si="1"/>
        <v>0</v>
      </c>
      <c r="AB16" s="19">
        <f t="shared" si="1"/>
        <v>6.2205954839233128E-2</v>
      </c>
      <c r="AC16" s="19">
        <f t="shared" si="1"/>
        <v>1.2416504038519387</v>
      </c>
      <c r="AD16" s="19">
        <f t="shared" si="1"/>
        <v>1.2056426282506361</v>
      </c>
      <c r="AE16" s="19">
        <f t="shared" si="1"/>
        <v>0.71281959807632711</v>
      </c>
      <c r="AF16" s="19">
        <f t="shared" si="1"/>
        <v>1.6131065150760855</v>
      </c>
      <c r="AG16" s="19">
        <f t="shared" si="1"/>
        <v>0.92934249198453001</v>
      </c>
      <c r="AH16">
        <f t="shared" si="14"/>
        <v>299711535.88531095</v>
      </c>
    </row>
    <row r="17" spans="1:41">
      <c r="A17">
        <v>5</v>
      </c>
      <c r="B17">
        <v>97</v>
      </c>
      <c r="C17">
        <v>963</v>
      </c>
      <c r="D17" s="1">
        <v>9.8700000000000003E-3</v>
      </c>
      <c r="E17" s="1">
        <v>9.6200000000000001E-3</v>
      </c>
      <c r="F17">
        <f t="shared" si="2"/>
        <v>2.5000000000000022E-4</v>
      </c>
      <c r="G17">
        <f t="shared" si="3"/>
        <v>609.46897479641984</v>
      </c>
      <c r="H17">
        <f t="shared" si="3"/>
        <v>6050.7074508139413</v>
      </c>
      <c r="K17">
        <f t="shared" si="4"/>
        <v>57727532243359.883</v>
      </c>
      <c r="L17">
        <f t="shared" si="5"/>
        <v>11711467666.555466</v>
      </c>
      <c r="M17">
        <f t="shared" si="6"/>
        <v>88261225665.43898</v>
      </c>
      <c r="O17">
        <f t="shared" si="7"/>
        <v>291739562.57437664</v>
      </c>
      <c r="P17">
        <f t="shared" si="8"/>
        <v>7604439.8174153417</v>
      </c>
      <c r="Q17">
        <f t="shared" si="9"/>
        <v>15492782.512805454</v>
      </c>
      <c r="R17" s="2">
        <f t="shared" si="10"/>
        <v>5.3104839042376006E-2</v>
      </c>
      <c r="S17" s="2">
        <f t="shared" si="11"/>
        <v>-0.5145604609336718</v>
      </c>
      <c r="T17" s="35">
        <f t="shared" si="12"/>
        <v>0.26477246795627279</v>
      </c>
      <c r="U17" s="5">
        <v>5</v>
      </c>
      <c r="V17" s="7">
        <f t="shared" si="13"/>
        <v>15492782.512805454</v>
      </c>
      <c r="W17" s="11">
        <f t="shared" si="0"/>
        <v>291739562.57437664</v>
      </c>
      <c r="X17" s="20">
        <f t="shared" si="1"/>
        <v>1.3473939812648905</v>
      </c>
      <c r="Y17" s="21">
        <f t="shared" si="1"/>
        <v>4.5477068636281856E-2</v>
      </c>
      <c r="Z17" s="21">
        <f t="shared" si="1"/>
        <v>1.0971088942841449</v>
      </c>
      <c r="AA17" s="21">
        <f t="shared" si="1"/>
        <v>6.2205954839233128E-2</v>
      </c>
      <c r="AB17" s="21">
        <f t="shared" si="1"/>
        <v>0</v>
      </c>
      <c r="AC17" s="21">
        <f t="shared" si="1"/>
        <v>1.1794870556548831</v>
      </c>
      <c r="AD17" s="21">
        <f t="shared" si="1"/>
        <v>1.1434767670173545</v>
      </c>
      <c r="AE17" s="21">
        <f t="shared" si="1"/>
        <v>0.65062706484249344</v>
      </c>
      <c r="AF17" s="21">
        <f t="shared" si="1"/>
        <v>1.5509736158867267</v>
      </c>
      <c r="AG17" s="21">
        <f t="shared" si="1"/>
        <v>0.86715990979090696</v>
      </c>
      <c r="AH17">
        <f t="shared" si="14"/>
        <v>299711535.88531095</v>
      </c>
    </row>
    <row r="18" spans="1:41">
      <c r="A18">
        <v>6</v>
      </c>
      <c r="B18">
        <v>79</v>
      </c>
      <c r="C18">
        <v>1400</v>
      </c>
      <c r="D18" s="1">
        <v>9.8799999999999999E-3</v>
      </c>
      <c r="E18" s="1">
        <v>9.5300000000000003E-3</v>
      </c>
      <c r="F18">
        <f t="shared" si="2"/>
        <v>3.4999999999999962E-4</v>
      </c>
      <c r="G18">
        <f t="shared" si="3"/>
        <v>496.37163926718733</v>
      </c>
      <c r="H18">
        <f t="shared" si="3"/>
        <v>8796.45943005142</v>
      </c>
      <c r="K18">
        <f t="shared" si="4"/>
        <v>68532531182975.953</v>
      </c>
      <c r="L18">
        <f t="shared" si="5"/>
        <v>13903530808.714731</v>
      </c>
      <c r="M18">
        <f t="shared" si="6"/>
        <v>104781288322.95848</v>
      </c>
      <c r="O18">
        <f t="shared" si="7"/>
        <v>317871958.23222727</v>
      </c>
      <c r="P18">
        <f t="shared" si="8"/>
        <v>8285602.9353395654</v>
      </c>
      <c r="Q18">
        <f t="shared" si="9"/>
        <v>15838245.516928516</v>
      </c>
      <c r="R18" s="2">
        <f t="shared" si="10"/>
        <v>4.9825865751132382E-2</v>
      </c>
      <c r="S18" s="2">
        <f t="shared" si="11"/>
        <v>1.1466183124580163</v>
      </c>
      <c r="T18" s="35">
        <f t="shared" si="12"/>
        <v>1.314733554464069</v>
      </c>
      <c r="U18" s="5">
        <v>6</v>
      </c>
      <c r="V18" s="7">
        <f t="shared" si="13"/>
        <v>15838245.516928516</v>
      </c>
      <c r="W18" s="11">
        <f t="shared" si="0"/>
        <v>317871958.23222727</v>
      </c>
      <c r="X18" s="18">
        <f t="shared" si="1"/>
        <v>0.1680335937490747</v>
      </c>
      <c r="Y18" s="19">
        <f t="shared" si="1"/>
        <v>1.2249333899179762</v>
      </c>
      <c r="Z18" s="19">
        <f t="shared" si="1"/>
        <v>8.2428630289551552E-2</v>
      </c>
      <c r="AA18" s="19">
        <f t="shared" si="1"/>
        <v>1.2416504038519387</v>
      </c>
      <c r="AB18" s="19">
        <f t="shared" si="1"/>
        <v>1.1794870556548831</v>
      </c>
      <c r="AC18" s="19">
        <f t="shared" si="1"/>
        <v>0</v>
      </c>
      <c r="AD18" s="19">
        <f t="shared" si="1"/>
        <v>3.6033293938697121E-2</v>
      </c>
      <c r="AE18" s="19">
        <f t="shared" si="1"/>
        <v>0.52905123576175095</v>
      </c>
      <c r="AF18" s="19">
        <f t="shared" si="1"/>
        <v>0.37180983982333116</v>
      </c>
      <c r="AG18" s="19">
        <f t="shared" si="1"/>
        <v>0.31247802149812737</v>
      </c>
      <c r="AH18">
        <f t="shared" si="14"/>
        <v>299711535.88531095</v>
      </c>
    </row>
    <row r="19" spans="1:41">
      <c r="A19">
        <v>7</v>
      </c>
      <c r="B19">
        <v>115</v>
      </c>
      <c r="C19">
        <v>1395</v>
      </c>
      <c r="D19" s="1">
        <v>9.8799999999999999E-3</v>
      </c>
      <c r="E19" s="1">
        <v>9.5399999999999999E-3</v>
      </c>
      <c r="F19">
        <f t="shared" si="2"/>
        <v>3.4000000000000002E-4</v>
      </c>
      <c r="G19">
        <f t="shared" si="3"/>
        <v>722.56631032565247</v>
      </c>
      <c r="H19">
        <f t="shared" si="3"/>
        <v>8765.0435035155224</v>
      </c>
      <c r="K19">
        <f t="shared" si="4"/>
        <v>68185076335551.781</v>
      </c>
      <c r="L19">
        <f t="shared" si="5"/>
        <v>13833040939.270077</v>
      </c>
      <c r="M19">
        <f t="shared" si="6"/>
        <v>104250054966.78838</v>
      </c>
      <c r="O19">
        <f t="shared" si="7"/>
        <v>317065140.68672943</v>
      </c>
      <c r="P19">
        <f t="shared" si="8"/>
        <v>8264572.5498332847</v>
      </c>
      <c r="Q19">
        <f t="shared" si="9"/>
        <v>15827253.851627467</v>
      </c>
      <c r="R19" s="2">
        <f t="shared" si="10"/>
        <v>4.9917987885225466E-2</v>
      </c>
      <c r="S19" s="2">
        <f t="shared" si="11"/>
        <v>1.0964381417079543</v>
      </c>
      <c r="T19" s="35">
        <f t="shared" si="12"/>
        <v>1.2021765985919921</v>
      </c>
      <c r="U19" s="5">
        <v>7</v>
      </c>
      <c r="V19" s="7">
        <f t="shared" si="13"/>
        <v>15827253.851627467</v>
      </c>
      <c r="W19" s="11">
        <f t="shared" si="0"/>
        <v>317065140.68672943</v>
      </c>
      <c r="X19" s="20">
        <f t="shared" si="1"/>
        <v>0.20406629485778444</v>
      </c>
      <c r="Y19" s="21">
        <f t="shared" si="1"/>
        <v>1.1889249258683185</v>
      </c>
      <c r="Z19" s="21">
        <f t="shared" si="1"/>
        <v>4.6395402304116137E-2</v>
      </c>
      <c r="AA19" s="21">
        <f t="shared" si="1"/>
        <v>1.2056426282506361</v>
      </c>
      <c r="AB19" s="21">
        <f t="shared" si="1"/>
        <v>1.1434767670173545</v>
      </c>
      <c r="AC19" s="21">
        <f t="shared" si="1"/>
        <v>3.6033293938697121E-2</v>
      </c>
      <c r="AD19" s="21">
        <f t="shared" si="1"/>
        <v>0</v>
      </c>
      <c r="AE19" s="21">
        <f t="shared" si="1"/>
        <v>0.49302242011833342</v>
      </c>
      <c r="AF19" s="21">
        <f t="shared" si="1"/>
        <v>0.40784050682677581</v>
      </c>
      <c r="AG19" s="21">
        <f t="shared" si="1"/>
        <v>0.27644621389993651</v>
      </c>
      <c r="AH19">
        <f t="shared" si="14"/>
        <v>299711535.88531095</v>
      </c>
    </row>
    <row r="20" spans="1:41">
      <c r="A20">
        <v>8</v>
      </c>
      <c r="B20">
        <v>113</v>
      </c>
      <c r="C20">
        <v>1385</v>
      </c>
      <c r="D20" s="1">
        <v>9.8899999999999995E-3</v>
      </c>
      <c r="E20" s="1">
        <v>9.5399999999999999E-3</v>
      </c>
      <c r="F20">
        <f t="shared" si="2"/>
        <v>3.4999999999999962E-4</v>
      </c>
      <c r="G20">
        <f t="shared" si="3"/>
        <v>709.99993971129322</v>
      </c>
      <c r="H20">
        <f t="shared" si="3"/>
        <v>8702.2116504437272</v>
      </c>
      <c r="K20">
        <f t="shared" si="4"/>
        <v>63542655406696</v>
      </c>
      <c r="L20">
        <f t="shared" si="5"/>
        <v>12891210230.59486</v>
      </c>
      <c r="M20">
        <f t="shared" si="6"/>
        <v>97152128807.250732</v>
      </c>
      <c r="O20">
        <f t="shared" si="7"/>
        <v>306081098.31293952</v>
      </c>
      <c r="P20">
        <f t="shared" si="8"/>
        <v>7978264.1436426407</v>
      </c>
      <c r="Q20">
        <f t="shared" si="9"/>
        <v>15679652.540733563</v>
      </c>
      <c r="R20" s="2">
        <f t="shared" si="10"/>
        <v>5.1227117999630846E-2</v>
      </c>
      <c r="S20" s="2">
        <f t="shared" si="11"/>
        <v>0.40623109543284436</v>
      </c>
      <c r="T20" s="35">
        <f t="shared" si="12"/>
        <v>0.1650237028965687</v>
      </c>
      <c r="U20" s="5">
        <v>8</v>
      </c>
      <c r="V20" s="7">
        <f t="shared" si="13"/>
        <v>15679652.540733563</v>
      </c>
      <c r="W20" s="11">
        <f t="shared" si="0"/>
        <v>306081098.31293952</v>
      </c>
      <c r="X20" s="18">
        <f t="shared" si="1"/>
        <v>0.69705524358884308</v>
      </c>
      <c r="Y20" s="19">
        <f t="shared" si="1"/>
        <v>0.69609454991666819</v>
      </c>
      <c r="Z20" s="19">
        <f t="shared" si="1"/>
        <v>0.44663188166000328</v>
      </c>
      <c r="AA20" s="19">
        <f t="shared" si="1"/>
        <v>0.71281959807632711</v>
      </c>
      <c r="AB20" s="19">
        <f t="shared" si="1"/>
        <v>0.65062706484249344</v>
      </c>
      <c r="AC20" s="19">
        <f t="shared" si="1"/>
        <v>0.52905123576175095</v>
      </c>
      <c r="AD20" s="19">
        <f t="shared" si="1"/>
        <v>0.49302242011833342</v>
      </c>
      <c r="AE20" s="19">
        <f t="shared" si="1"/>
        <v>0</v>
      </c>
      <c r="AF20" s="19">
        <f t="shared" si="1"/>
        <v>0.90077630688802712</v>
      </c>
      <c r="AG20" s="19">
        <f t="shared" si="1"/>
        <v>0.2165902281916236</v>
      </c>
      <c r="AH20">
        <f t="shared" si="14"/>
        <v>299711535.88531095</v>
      </c>
    </row>
    <row r="21" spans="1:41">
      <c r="A21">
        <v>9</v>
      </c>
      <c r="B21">
        <v>79</v>
      </c>
      <c r="C21">
        <v>1396</v>
      </c>
      <c r="D21" s="1">
        <v>9.8799999999999999E-3</v>
      </c>
      <c r="E21" s="1">
        <v>9.5399999999999999E-3</v>
      </c>
      <c r="F21">
        <f t="shared" si="2"/>
        <v>3.4000000000000002E-4</v>
      </c>
      <c r="G21">
        <f t="shared" si="3"/>
        <v>496.37163926718733</v>
      </c>
      <c r="H21">
        <f t="shared" si="3"/>
        <v>8771.3266888227026</v>
      </c>
      <c r="K21">
        <f t="shared" si="4"/>
        <v>72183999553329.375</v>
      </c>
      <c r="L21">
        <f t="shared" si="5"/>
        <v>14644322110.42091</v>
      </c>
      <c r="M21">
        <f t="shared" si="6"/>
        <v>110364119622.36934</v>
      </c>
      <c r="O21">
        <f t="shared" si="7"/>
        <v>326230304.90970522</v>
      </c>
      <c r="P21">
        <f t="shared" si="8"/>
        <v>8503470.3501019031</v>
      </c>
      <c r="Q21">
        <f t="shared" si="9"/>
        <v>15953301.007862316</v>
      </c>
      <c r="R21" s="2">
        <f t="shared" si="10"/>
        <v>4.8901959038654942E-2</v>
      </c>
      <c r="S21" s="2">
        <f t="shared" si="11"/>
        <v>1.662274723665337</v>
      </c>
      <c r="T21" s="35">
        <f t="shared" si="12"/>
        <v>2.7631572569366725</v>
      </c>
      <c r="U21" s="5">
        <v>9</v>
      </c>
      <c r="V21" s="7">
        <f t="shared" si="13"/>
        <v>15953301.007862316</v>
      </c>
      <c r="W21" s="11">
        <f t="shared" si="0"/>
        <v>326230304.90970522</v>
      </c>
      <c r="X21" s="20">
        <f t="shared" si="1"/>
        <v>0.20378237940730048</v>
      </c>
      <c r="Y21" s="21">
        <f t="shared" si="1"/>
        <v>1.5963978198190412</v>
      </c>
      <c r="Z21" s="21">
        <f t="shared" si="1"/>
        <v>0.45423178035375633</v>
      </c>
      <c r="AA21" s="21">
        <f t="shared" si="1"/>
        <v>1.6131065150760855</v>
      </c>
      <c r="AB21" s="21">
        <f t="shared" si="1"/>
        <v>1.5509736158867267</v>
      </c>
      <c r="AC21" s="21">
        <f t="shared" si="1"/>
        <v>0.37180983982333116</v>
      </c>
      <c r="AD21" s="21">
        <f t="shared" si="1"/>
        <v>0.40784050682677581</v>
      </c>
      <c r="AE21" s="21">
        <f t="shared" si="1"/>
        <v>0.90077630688802712</v>
      </c>
      <c r="AF21" s="21">
        <f t="shared" si="1"/>
        <v>0</v>
      </c>
      <c r="AG21" s="21">
        <f t="shared" si="1"/>
        <v>0.68424974645338144</v>
      </c>
      <c r="AH21">
        <f t="shared" si="14"/>
        <v>299711535.88531095</v>
      </c>
    </row>
    <row r="22" spans="1:41">
      <c r="A22">
        <v>10</v>
      </c>
      <c r="B22">
        <v>93</v>
      </c>
      <c r="C22">
        <v>1385</v>
      </c>
      <c r="D22" s="1">
        <v>9.8899999999999995E-3</v>
      </c>
      <c r="E22" s="1">
        <v>9.5399999999999999E-3</v>
      </c>
      <c r="F22">
        <f t="shared" si="2"/>
        <v>3.4999999999999962E-4</v>
      </c>
      <c r="G22">
        <f t="shared" si="3"/>
        <v>584.33623356770147</v>
      </c>
      <c r="H22">
        <f t="shared" si="3"/>
        <v>8702.2116504437272</v>
      </c>
      <c r="K22">
        <f t="shared" si="4"/>
        <v>65556561211237.555</v>
      </c>
      <c r="L22">
        <f t="shared" si="5"/>
        <v>13299781181.002846</v>
      </c>
      <c r="M22">
        <f t="shared" si="6"/>
        <v>100231245266.52097</v>
      </c>
      <c r="O22">
        <f t="shared" si="7"/>
        <v>310893694.19836313</v>
      </c>
      <c r="P22">
        <f t="shared" si="8"/>
        <v>8103708.5484168958</v>
      </c>
      <c r="Q22">
        <f t="shared" si="9"/>
        <v>15743852.68255784</v>
      </c>
      <c r="R22" s="2">
        <f t="shared" si="10"/>
        <v>5.0640630467443978E-2</v>
      </c>
      <c r="S22" s="2">
        <f t="shared" si="11"/>
        <v>0.71025552248977586</v>
      </c>
      <c r="T22" s="35">
        <f t="shared" si="12"/>
        <v>0.50446290722722453</v>
      </c>
      <c r="U22" s="5">
        <v>10</v>
      </c>
      <c r="V22" s="7">
        <f t="shared" si="13"/>
        <v>15743852.68255784</v>
      </c>
      <c r="W22" s="11">
        <f t="shared" si="0"/>
        <v>310893694.19836313</v>
      </c>
      <c r="X22" s="18">
        <f t="shared" si="1"/>
        <v>0.48049954343920054</v>
      </c>
      <c r="Y22" s="19">
        <f t="shared" si="1"/>
        <v>0.91262019595028476</v>
      </c>
      <c r="Z22" s="19">
        <f t="shared" si="1"/>
        <v>0.23005221939404505</v>
      </c>
      <c r="AA22" s="19">
        <f t="shared" si="1"/>
        <v>0.92934249198453001</v>
      </c>
      <c r="AB22" s="19">
        <f t="shared" si="1"/>
        <v>0.86715990979090696</v>
      </c>
      <c r="AC22" s="19">
        <f t="shared" si="1"/>
        <v>0.31247802149812737</v>
      </c>
      <c r="AD22" s="19">
        <f t="shared" si="1"/>
        <v>0.27644621389993651</v>
      </c>
      <c r="AE22" s="19">
        <f t="shared" si="1"/>
        <v>0.2165902281916236</v>
      </c>
      <c r="AF22" s="19">
        <f t="shared" si="1"/>
        <v>0.68424974645338144</v>
      </c>
      <c r="AG22" s="19">
        <f t="shared" si="1"/>
        <v>0</v>
      </c>
      <c r="AH22">
        <f t="shared" si="14"/>
        <v>299711535.88531095</v>
      </c>
    </row>
    <row r="23" spans="1:41">
      <c r="D23" s="1"/>
      <c r="E23" s="1"/>
      <c r="Q23" s="2"/>
      <c r="R23" s="2"/>
    </row>
    <row r="24" spans="1:41">
      <c r="C24" s="1"/>
      <c r="D24" s="1"/>
      <c r="E24" s="1"/>
      <c r="Q24" s="2"/>
      <c r="R24" s="2"/>
    </row>
    <row r="25" spans="1:41">
      <c r="D25" s="1"/>
      <c r="E25" s="1"/>
      <c r="M25" t="s">
        <v>40</v>
      </c>
      <c r="N25" t="s">
        <v>41</v>
      </c>
      <c r="O25" t="s">
        <v>51</v>
      </c>
      <c r="P25" t="s">
        <v>50</v>
      </c>
      <c r="Q25" s="2"/>
      <c r="R25" s="2"/>
    </row>
    <row r="26" spans="1:41">
      <c r="D26" s="1"/>
      <c r="M26">
        <f>AVERAGE(O13:O22)</f>
        <v>308867166.68978626</v>
      </c>
      <c r="N26">
        <f>_xlfn.STDEV.S(O13:O22)</f>
        <v>13498103.757654207</v>
      </c>
      <c r="O26">
        <f>N26/SQRT(COUNT(O13:O22))</f>
        <v>4268475.1967464751</v>
      </c>
      <c r="P26">
        <f>N26/M26</f>
        <v>4.3701970339926607E-2</v>
      </c>
      <c r="Q26" s="2"/>
      <c r="R26" s="2"/>
      <c r="V26" t="s">
        <v>78</v>
      </c>
      <c r="W26" t="s">
        <v>79</v>
      </c>
      <c r="X26" t="s">
        <v>80</v>
      </c>
      <c r="Y26" t="s">
        <v>81</v>
      </c>
      <c r="Z26" t="s">
        <v>82</v>
      </c>
      <c r="AA26" t="s">
        <v>83</v>
      </c>
      <c r="AB26" t="s">
        <v>84</v>
      </c>
      <c r="AC26" t="s">
        <v>85</v>
      </c>
      <c r="AD26" t="s">
        <v>86</v>
      </c>
      <c r="AE26" t="s">
        <v>87</v>
      </c>
      <c r="AF26" t="s">
        <v>88</v>
      </c>
      <c r="AG26" t="s">
        <v>89</v>
      </c>
      <c r="AH26" t="s">
        <v>90</v>
      </c>
      <c r="AI26" t="s">
        <v>91</v>
      </c>
      <c r="AJ26" t="s">
        <v>92</v>
      </c>
      <c r="AK26" t="s">
        <v>93</v>
      </c>
      <c r="AL26" t="s">
        <v>94</v>
      </c>
      <c r="AM26" t="s">
        <v>95</v>
      </c>
      <c r="AN26" t="s">
        <v>96</v>
      </c>
      <c r="AO26" t="s">
        <v>101</v>
      </c>
    </row>
    <row r="27" spans="1:41">
      <c r="A27" t="s">
        <v>44</v>
      </c>
      <c r="B27" t="s">
        <v>45</v>
      </c>
      <c r="C27" t="s">
        <v>39</v>
      </c>
      <c r="Q27" s="2"/>
      <c r="R27" s="2"/>
    </row>
    <row r="28" spans="1:41">
      <c r="A28">
        <f>O13</f>
        <v>321641825.00914192</v>
      </c>
      <c r="B28">
        <f>P13</f>
        <v>8383867.7190793874</v>
      </c>
      <c r="C28">
        <f>1/B28^2</f>
        <v>1.4226929035442858E-14</v>
      </c>
      <c r="D28">
        <f>C28*A28</f>
        <v>4.5759754192353919E-6</v>
      </c>
      <c r="Q28" s="2"/>
      <c r="R28" s="2"/>
    </row>
    <row r="29" spans="1:41">
      <c r="A29">
        <f t="shared" ref="A29:B36" si="15">O14</f>
        <v>290743564.46939451</v>
      </c>
      <c r="B29">
        <f t="shared" si="15"/>
        <v>7578478.2797316592</v>
      </c>
      <c r="C29">
        <f t="shared" ref="C29:C37" si="16">1/B29^2</f>
        <v>1.7411491674474807E-14</v>
      </c>
      <c r="D29">
        <f t="shared" ref="D29:D37" si="17">C29*A29</f>
        <v>5.0622791521659918E-6</v>
      </c>
      <c r="Q29" s="2"/>
      <c r="R29" s="2"/>
    </row>
    <row r="30" spans="1:41">
      <c r="A30">
        <f t="shared" si="15"/>
        <v>316027129.80948102</v>
      </c>
      <c r="B30">
        <f t="shared" si="15"/>
        <v>8237515.9135094211</v>
      </c>
      <c r="C30">
        <f t="shared" si="16"/>
        <v>1.4736945140484477E-14</v>
      </c>
      <c r="D30">
        <f t="shared" si="17"/>
        <v>4.6572744749070882E-6</v>
      </c>
      <c r="Q30" s="2"/>
      <c r="R30" s="2"/>
    </row>
    <row r="31" spans="1:41">
      <c r="A31">
        <f t="shared" si="15"/>
        <v>290377388.69550353</v>
      </c>
      <c r="B31">
        <f t="shared" si="15"/>
        <v>7568933.5967597058</v>
      </c>
      <c r="C31">
        <f t="shared" si="16"/>
        <v>1.7455432330001634E-14</v>
      </c>
      <c r="D31">
        <f t="shared" si="17"/>
        <v>5.0686628585369435E-6</v>
      </c>
      <c r="Q31" s="2"/>
      <c r="R31" s="2"/>
    </row>
    <row r="32" spans="1:41">
      <c r="A32">
        <f t="shared" si="15"/>
        <v>291739562.57437664</v>
      </c>
      <c r="B32">
        <f t="shared" si="15"/>
        <v>7604439.8174153417</v>
      </c>
      <c r="C32">
        <f t="shared" si="16"/>
        <v>1.7292809037754186E-14</v>
      </c>
      <c r="D32">
        <f t="shared" si="17"/>
        <v>5.0449965443566332E-6</v>
      </c>
      <c r="Q32" s="2"/>
      <c r="R32" s="2"/>
    </row>
    <row r="33" spans="1:20">
      <c r="A33">
        <f t="shared" si="15"/>
        <v>317871958.23222727</v>
      </c>
      <c r="B33">
        <f t="shared" si="15"/>
        <v>8285602.9353395654</v>
      </c>
      <c r="C33">
        <f t="shared" si="16"/>
        <v>1.4566384373574673E-14</v>
      </c>
      <c r="D33">
        <f t="shared" si="17"/>
        <v>4.6302451251914966E-6</v>
      </c>
      <c r="Q33" s="2"/>
      <c r="R33" s="2"/>
    </row>
    <row r="34" spans="1:20">
      <c r="A34">
        <f t="shared" si="15"/>
        <v>317065140.68672943</v>
      </c>
      <c r="B34">
        <f t="shared" si="15"/>
        <v>8264572.5498332847</v>
      </c>
      <c r="C34">
        <f t="shared" si="16"/>
        <v>1.4640611185833931E-14</v>
      </c>
      <c r="D34">
        <f t="shared" si="17"/>
        <v>4.6420274453761403E-6</v>
      </c>
      <c r="Q34" s="2"/>
      <c r="R34" s="2"/>
    </row>
    <row r="35" spans="1:20">
      <c r="A35">
        <f t="shared" si="15"/>
        <v>306081098.31293952</v>
      </c>
      <c r="B35">
        <f t="shared" si="15"/>
        <v>7978264.1436426407</v>
      </c>
      <c r="C35">
        <f t="shared" si="16"/>
        <v>1.5710252977561655E-14</v>
      </c>
      <c r="D35">
        <f t="shared" si="17"/>
        <v>4.8086114861462E-6</v>
      </c>
      <c r="Q35" s="2"/>
      <c r="R35" s="2"/>
    </row>
    <row r="36" spans="1:20">
      <c r="A36">
        <f t="shared" si="15"/>
        <v>326230304.90970522</v>
      </c>
      <c r="B36">
        <f t="shared" si="15"/>
        <v>8503470.3501019031</v>
      </c>
      <c r="C36">
        <f t="shared" si="16"/>
        <v>1.3829535596288193E-14</v>
      </c>
      <c r="D36">
        <f t="shared" si="17"/>
        <v>4.5116136143367191E-6</v>
      </c>
      <c r="Q36" s="2"/>
      <c r="R36" s="2"/>
    </row>
    <row r="37" spans="1:20">
      <c r="A37">
        <f>O22</f>
        <v>310893694.19836313</v>
      </c>
      <c r="B37">
        <f>P22</f>
        <v>8103708.5484168958</v>
      </c>
      <c r="C37">
        <f t="shared" si="16"/>
        <v>1.5227632030432044E-14</v>
      </c>
      <c r="D37">
        <f t="shared" si="17"/>
        <v>4.7341747758343393E-6</v>
      </c>
      <c r="Q37" s="2"/>
      <c r="R37" s="2"/>
    </row>
    <row r="38" spans="1:20">
      <c r="B38" t="s">
        <v>46</v>
      </c>
      <c r="C38">
        <f>SUM(C28:C37)</f>
        <v>1.5509802338184846E-13</v>
      </c>
      <c r="D38">
        <f>SUM(D28:D37)</f>
        <v>4.7735860896086945E-5</v>
      </c>
      <c r="Q38" s="2"/>
      <c r="R38" s="2"/>
    </row>
    <row r="39" spans="1:20">
      <c r="Q39" s="2"/>
      <c r="R39" s="2"/>
    </row>
    <row r="40" spans="1:20">
      <c r="A40" t="s">
        <v>47</v>
      </c>
      <c r="B40" t="s">
        <v>48</v>
      </c>
      <c r="C40" t="s">
        <v>76</v>
      </c>
      <c r="D40" t="s">
        <v>49</v>
      </c>
      <c r="E40" t="s">
        <v>77</v>
      </c>
      <c r="F40" t="s">
        <v>52</v>
      </c>
      <c r="G40" t="s">
        <v>53</v>
      </c>
      <c r="S40" s="2"/>
      <c r="T40" s="2"/>
    </row>
    <row r="41" spans="1:20">
      <c r="A41">
        <f>D38/C38</f>
        <v>307778654.13901591</v>
      </c>
      <c r="B41">
        <f>SQRT(1/C38)</f>
        <v>2539199.7606219756</v>
      </c>
      <c r="C41">
        <f>B41/A41</f>
        <v>8.2500840343368402E-3</v>
      </c>
      <c r="D41">
        <f>O26</f>
        <v>4268475.1967464751</v>
      </c>
      <c r="E41">
        <f>D41/A41</f>
        <v>1.3868652485622059E-2</v>
      </c>
      <c r="F41">
        <f>(D41+B41)</f>
        <v>6807674.9573684502</v>
      </c>
      <c r="G41" s="2">
        <f>F41/A41</f>
        <v>2.2118736519958899E-2</v>
      </c>
      <c r="K41" s="4" t="s">
        <v>102</v>
      </c>
      <c r="L41" s="4" t="s">
        <v>103</v>
      </c>
      <c r="M41" s="4" t="s">
        <v>104</v>
      </c>
      <c r="N41" s="4" t="s">
        <v>105</v>
      </c>
      <c r="O41" s="4" t="s">
        <v>106</v>
      </c>
      <c r="P41" s="4" t="s">
        <v>108</v>
      </c>
      <c r="Q41" s="4" t="s">
        <v>109</v>
      </c>
      <c r="R41" s="4" t="s">
        <v>107</v>
      </c>
      <c r="S41" s="2"/>
      <c r="T41" s="2"/>
    </row>
    <row r="42" spans="1:20">
      <c r="K42" s="4">
        <v>1</v>
      </c>
      <c r="L42" s="31" t="str">
        <f t="shared" ref="L42:M57" si="18">"\num{" &amp; B13 &amp; "}"</f>
        <v>\num{118}</v>
      </c>
      <c r="M42" s="31" t="str">
        <f t="shared" si="18"/>
        <v>\num{920}</v>
      </c>
      <c r="N42" s="31" t="str">
        <f>"\num{" &amp; TEXT(D13/0.001, "00.00") &amp; "}"</f>
        <v>\num{09.87}</v>
      </c>
      <c r="O42" s="31" t="str">
        <f>"\num{" &amp; TEXT(E13/0.001, "00.00") &amp; "}"</f>
        <v>\num{09.66}</v>
      </c>
      <c r="P42" s="31" t="str">
        <f>"\num{" &amp; TEXT(O13/1000000, "0.00") &amp; "E+06}"</f>
        <v>\num{321.64E+06}</v>
      </c>
      <c r="Q42" s="31" t="str">
        <f>"\num{" &amp; TEXT(P13/1000000, "0.00") &amp; "E+06}"</f>
        <v>\num{8.38E+06}</v>
      </c>
      <c r="R42" s="34">
        <f>R13</f>
        <v>4.9402382105029022E-2</v>
      </c>
    </row>
    <row r="43" spans="1:20">
      <c r="A43" t="s">
        <v>36</v>
      </c>
      <c r="K43" s="4">
        <v>2</v>
      </c>
      <c r="L43" s="32" t="str">
        <f t="shared" si="18"/>
        <v>\num{114}</v>
      </c>
      <c r="M43" s="32" t="str">
        <f t="shared" si="18"/>
        <v>\num{908}</v>
      </c>
      <c r="N43" s="32" t="str">
        <f t="shared" ref="N43:O58" si="19">"\num{" &amp; TEXT(D14/0.001, "00.00") &amp; "}"</f>
        <v>\num{09.88}</v>
      </c>
      <c r="O43" s="32" t="str">
        <f t="shared" si="19"/>
        <v>\num{09.65}</v>
      </c>
      <c r="P43" s="32" t="str">
        <f t="shared" ref="P43:Q43" si="20">"\num{" &amp; TEXT(O14/1000000, "0.00") &amp; "E+06}"</f>
        <v>\num{290.74E+06}</v>
      </c>
      <c r="Q43" s="32" t="str">
        <f t="shared" si="20"/>
        <v>\num{7.58E+06}</v>
      </c>
      <c r="R43" s="33">
        <f>R14</f>
        <v>5.3242988088032683E-2</v>
      </c>
    </row>
    <row r="44" spans="1:20">
      <c r="A44">
        <f>ABS(A41-B10)/F41</f>
        <v>1.1850034415896027</v>
      </c>
      <c r="K44" s="4">
        <v>3</v>
      </c>
      <c r="L44" s="31" t="str">
        <f t="shared" si="18"/>
        <v>\num{127}</v>
      </c>
      <c r="M44" s="34" t="str">
        <f t="shared" si="18"/>
        <v>\num{915}</v>
      </c>
      <c r="N44" s="31" t="str">
        <f t="shared" si="19"/>
        <v>\num{09.86}</v>
      </c>
      <c r="O44" s="34" t="str">
        <f t="shared" si="19"/>
        <v>\num{09.65}</v>
      </c>
      <c r="P44" s="34" t="str">
        <f t="shared" ref="P44:Q44" si="21">"\num{" &amp; TEXT(O15/1000000, "0.00") &amp; "E+06}"</f>
        <v>\num{316.03E+06}</v>
      </c>
      <c r="Q44" s="34" t="str">
        <f t="shared" si="21"/>
        <v>\num{8.24E+06}</v>
      </c>
      <c r="R44" s="34">
        <f>R15</f>
        <v>5.0037294071765312E-2</v>
      </c>
    </row>
    <row r="45" spans="1:20">
      <c r="K45" s="4">
        <v>4</v>
      </c>
      <c r="L45" s="32" t="str">
        <f t="shared" si="18"/>
        <v>\num{115}</v>
      </c>
      <c r="M45" s="32" t="str">
        <f t="shared" si="18"/>
        <v>\num{908}</v>
      </c>
      <c r="N45" s="32" t="str">
        <f t="shared" si="19"/>
        <v>\num{09.88}</v>
      </c>
      <c r="O45" s="32" t="str">
        <f t="shared" si="19"/>
        <v>\num{09.65}</v>
      </c>
      <c r="P45" s="32" t="str">
        <f t="shared" ref="P45:Q45" si="22">"\num{" &amp; TEXT(O16/1000000, "0.00") &amp; "E+06}"</f>
        <v>\num{290.38E+06}</v>
      </c>
      <c r="Q45" s="32" t="str">
        <f t="shared" si="22"/>
        <v>\num{7.57E+06}</v>
      </c>
      <c r="R45" s="33">
        <f>R16</f>
        <v>5.329404508379719E-2</v>
      </c>
    </row>
    <row r="46" spans="1:20">
      <c r="K46" s="4">
        <v>5</v>
      </c>
      <c r="L46" s="31" t="str">
        <f t="shared" si="18"/>
        <v>\num{97}</v>
      </c>
      <c r="M46" s="34" t="str">
        <f t="shared" si="18"/>
        <v>\num{963}</v>
      </c>
      <c r="N46" s="31" t="str">
        <f t="shared" si="19"/>
        <v>\num{09.87}</v>
      </c>
      <c r="O46" s="34" t="str">
        <f t="shared" si="19"/>
        <v>\num{09.62}</v>
      </c>
      <c r="P46" s="34" t="str">
        <f t="shared" ref="P46:Q46" si="23">"\num{" &amp; TEXT(O17/1000000, "0.00") &amp; "E+06}"</f>
        <v>\num{291.74E+06}</v>
      </c>
      <c r="Q46" s="34" t="str">
        <f t="shared" si="23"/>
        <v>\num{7.60E+06}</v>
      </c>
      <c r="R46" s="34">
        <f>R17</f>
        <v>5.3104839042376006E-2</v>
      </c>
    </row>
    <row r="47" spans="1:20">
      <c r="K47" s="4">
        <v>6</v>
      </c>
      <c r="L47" s="32" t="str">
        <f t="shared" si="18"/>
        <v>\num{79}</v>
      </c>
      <c r="M47" s="32" t="str">
        <f t="shared" si="18"/>
        <v>\num{1400}</v>
      </c>
      <c r="N47" s="32" t="str">
        <f t="shared" si="19"/>
        <v>\num{09.88}</v>
      </c>
      <c r="O47" s="32" t="str">
        <f t="shared" si="19"/>
        <v>\num{09.53}</v>
      </c>
      <c r="P47" s="32" t="str">
        <f t="shared" ref="P47:Q47" si="24">"\num{" &amp; TEXT(O18/1000000, "0.00") &amp; "E+06}"</f>
        <v>\num{317.87E+06}</v>
      </c>
      <c r="Q47" s="32" t="str">
        <f t="shared" si="24"/>
        <v>\num{8.29E+06}</v>
      </c>
      <c r="R47" s="33">
        <f>R18</f>
        <v>4.9825865751132382E-2</v>
      </c>
    </row>
    <row r="48" spans="1:20">
      <c r="K48" s="4">
        <v>7</v>
      </c>
      <c r="L48" s="31" t="str">
        <f t="shared" si="18"/>
        <v>\num{115}</v>
      </c>
      <c r="M48" s="34" t="str">
        <f t="shared" si="18"/>
        <v>\num{1395}</v>
      </c>
      <c r="N48" s="31" t="str">
        <f t="shared" si="19"/>
        <v>\num{09.88}</v>
      </c>
      <c r="O48" s="34" t="str">
        <f t="shared" si="19"/>
        <v>\num{09.54}</v>
      </c>
      <c r="P48" s="34" t="str">
        <f t="shared" ref="P48:Q48" si="25">"\num{" &amp; TEXT(O19/1000000, "0.00") &amp; "E+06}"</f>
        <v>\num{317.07E+06}</v>
      </c>
      <c r="Q48" s="34" t="str">
        <f t="shared" si="25"/>
        <v>\num{8.26E+06}</v>
      </c>
      <c r="R48" s="34">
        <f>R19</f>
        <v>4.9917987885225466E-2</v>
      </c>
    </row>
    <row r="49" spans="11:18">
      <c r="K49" s="4">
        <v>8</v>
      </c>
      <c r="L49" s="32" t="str">
        <f t="shared" si="18"/>
        <v>\num{113}</v>
      </c>
      <c r="M49" s="32" t="str">
        <f t="shared" si="18"/>
        <v>\num{1385}</v>
      </c>
      <c r="N49" s="32" t="str">
        <f t="shared" si="19"/>
        <v>\num{09.89}</v>
      </c>
      <c r="O49" s="32" t="str">
        <f t="shared" si="19"/>
        <v>\num{09.54}</v>
      </c>
      <c r="P49" s="32" t="str">
        <f t="shared" ref="P49:Q49" si="26">"\num{" &amp; TEXT(O20/1000000, "0.00") &amp; "E+06}"</f>
        <v>\num{306.08E+06}</v>
      </c>
      <c r="Q49" s="32" t="str">
        <f t="shared" si="26"/>
        <v>\num{7.98E+06}</v>
      </c>
      <c r="R49" s="33">
        <f>R20</f>
        <v>5.1227117999630846E-2</v>
      </c>
    </row>
    <row r="50" spans="11:18">
      <c r="K50" s="4">
        <v>9</v>
      </c>
      <c r="L50" s="31" t="str">
        <f t="shared" si="18"/>
        <v>\num{79}</v>
      </c>
      <c r="M50" s="34" t="str">
        <f t="shared" si="18"/>
        <v>\num{1396}</v>
      </c>
      <c r="N50" s="31" t="str">
        <f t="shared" si="19"/>
        <v>\num{09.88}</v>
      </c>
      <c r="O50" s="34" t="str">
        <f t="shared" si="19"/>
        <v>\num{09.54}</v>
      </c>
      <c r="P50" s="34" t="str">
        <f t="shared" ref="P50:Q50" si="27">"\num{" &amp; TEXT(O21/1000000, "0.00") &amp; "E+06}"</f>
        <v>\num{326.23E+06}</v>
      </c>
      <c r="Q50" s="34" t="str">
        <f t="shared" si="27"/>
        <v>\num{8.50E+06}</v>
      </c>
      <c r="R50" s="34">
        <f>R21</f>
        <v>4.8901959038654942E-2</v>
      </c>
    </row>
    <row r="51" spans="11:18">
      <c r="K51" s="4">
        <v>10</v>
      </c>
      <c r="L51" s="32" t="str">
        <f t="shared" si="18"/>
        <v>\num{93}</v>
      </c>
      <c r="M51" s="32" t="str">
        <f t="shared" si="18"/>
        <v>\num{1385}</v>
      </c>
      <c r="N51" s="32" t="str">
        <f t="shared" si="19"/>
        <v>\num{09.89}</v>
      </c>
      <c r="O51" s="32" t="str">
        <f t="shared" si="19"/>
        <v>\num{09.54}</v>
      </c>
      <c r="P51" s="32" t="str">
        <f t="shared" ref="P51:Q51" si="28">"\num{" &amp; TEXT(O22/1000000, "0.00") &amp; "E+06}"</f>
        <v>\num{310.89E+06}</v>
      </c>
      <c r="Q51" s="32" t="str">
        <f t="shared" si="28"/>
        <v>\num{8.10E+06}</v>
      </c>
      <c r="R51" s="33">
        <f>R22</f>
        <v>5.0640630467443978E-2</v>
      </c>
    </row>
  </sheetData>
  <pageMargins left="0.7" right="0.7" top="0.75" bottom="0.75" header="0.3" footer="0.3"/>
  <pageSetup paperSize="9" orientation="portrait" horizontalDpi="360" verticalDpi="36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zoomScale="115" zoomScaleNormal="115" workbookViewId="0">
      <selection activeCell="B10" sqref="B10"/>
    </sheetView>
  </sheetViews>
  <sheetFormatPr defaultRowHeight="15"/>
  <cols>
    <col min="1" max="1" width="14.5703125" customWidth="1"/>
    <col min="2" max="2" width="16.5703125" customWidth="1"/>
    <col min="3" max="3" width="13.7109375" customWidth="1"/>
    <col min="4" max="5" width="13.5703125" customWidth="1"/>
    <col min="6" max="6" width="15.7109375" bestFit="1" customWidth="1"/>
    <col min="7" max="8" width="9.140625" customWidth="1"/>
    <col min="9" max="9" width="11.42578125" customWidth="1"/>
    <col min="11" max="12" width="11.85546875" customWidth="1"/>
    <col min="13" max="13" width="12" customWidth="1"/>
    <col min="14" max="14" width="9" customWidth="1"/>
    <col min="15" max="15" width="12.28515625" customWidth="1"/>
    <col min="16" max="16" width="10" customWidth="1"/>
    <col min="17" max="18" width="15.85546875" customWidth="1"/>
    <col min="19" max="19" width="15.5703125" customWidth="1"/>
    <col min="21" max="22" width="9.28515625" customWidth="1"/>
    <col min="23" max="25" width="11.85546875" customWidth="1"/>
    <col min="26" max="26" width="12" customWidth="1"/>
    <col min="27" max="27" width="11.85546875" customWidth="1"/>
    <col min="28" max="28" width="9.85546875" customWidth="1"/>
    <col min="29" max="31" width="11.85546875" customWidth="1"/>
    <col min="32" max="45" width="9.140625" customWidth="1"/>
  </cols>
  <sheetData>
    <row r="1" spans="1:34">
      <c r="A1" t="s">
        <v>0</v>
      </c>
      <c r="C1" t="s">
        <v>17</v>
      </c>
      <c r="E1" t="s">
        <v>100</v>
      </c>
    </row>
    <row r="2" spans="1:34">
      <c r="A2" t="s">
        <v>1</v>
      </c>
      <c r="B2" s="1">
        <f>Sheet1!B8</f>
        <v>0.252</v>
      </c>
      <c r="C2" s="1">
        <f>Sheet1!C8</f>
        <v>2.52E-4</v>
      </c>
      <c r="E2" s="1"/>
    </row>
    <row r="3" spans="1:34">
      <c r="A3" t="s">
        <v>2</v>
      </c>
      <c r="B3" s="1">
        <f>Sheet1!B6</f>
        <v>13.52</v>
      </c>
      <c r="C3" s="1">
        <f>Sheet1!C6</f>
        <v>0.34641016151377546</v>
      </c>
      <c r="E3" s="1"/>
    </row>
    <row r="4" spans="1:34">
      <c r="A4" t="s">
        <v>3</v>
      </c>
      <c r="B4" s="1">
        <f>Sheet1!B7</f>
        <v>0.47799999999999998</v>
      </c>
      <c r="C4" s="1">
        <f>Sheet1!C7</f>
        <v>5.0990195135927853E-3</v>
      </c>
      <c r="E4" s="1"/>
    </row>
    <row r="5" spans="1:34">
      <c r="A5" t="s">
        <v>4</v>
      </c>
      <c r="B5" s="1">
        <f>B4+B3</f>
        <v>13.997999999999999</v>
      </c>
      <c r="C5">
        <f>SQRT(C4^2+C3^2)</f>
        <v>0.34644768724873887</v>
      </c>
    </row>
    <row r="6" spans="1:34">
      <c r="A6" t="s">
        <v>5</v>
      </c>
      <c r="B6" s="1">
        <f>B3^2</f>
        <v>182.79039999999998</v>
      </c>
      <c r="C6" s="1">
        <f>2*B3*C3</f>
        <v>9.3669307673324873</v>
      </c>
    </row>
    <row r="7" spans="1:34">
      <c r="A7" t="s">
        <v>10</v>
      </c>
      <c r="B7">
        <v>0</v>
      </c>
    </row>
    <row r="8" spans="1:34">
      <c r="A8" t="s">
        <v>11</v>
      </c>
      <c r="B8">
        <v>0</v>
      </c>
    </row>
    <row r="9" spans="1:34">
      <c r="A9" t="s">
        <v>12</v>
      </c>
      <c r="B9" s="1">
        <f>0.00001*SQRT(2)</f>
        <v>1.4142135623730953E-5</v>
      </c>
      <c r="C9" s="1"/>
      <c r="E9" s="1"/>
      <c r="S9">
        <f>SUM(T13:T22)</f>
        <v>2.2900784595334076</v>
      </c>
      <c r="T9">
        <f>S9/(COUNT(T13:T22)-2)</f>
        <v>0.28625980744167595</v>
      </c>
    </row>
    <row r="10" spans="1:34">
      <c r="A10" t="s">
        <v>15</v>
      </c>
      <c r="B10">
        <f>299792458/1.00027</f>
        <v>299711535.88531095</v>
      </c>
      <c r="U10" s="38"/>
      <c r="V10" s="38"/>
      <c r="W10" s="38" t="s">
        <v>20</v>
      </c>
      <c r="X10" s="38">
        <f t="array" ref="X10:AG12">TRANSPOSE(U13:W22)</f>
        <v>1</v>
      </c>
      <c r="Y10" s="38">
        <v>2</v>
      </c>
      <c r="Z10" s="38">
        <v>3</v>
      </c>
      <c r="AA10" s="38">
        <v>4</v>
      </c>
      <c r="AB10" s="38">
        <v>5</v>
      </c>
      <c r="AC10" s="38">
        <v>6</v>
      </c>
      <c r="AD10" s="38">
        <v>7</v>
      </c>
      <c r="AE10" s="38">
        <v>8</v>
      </c>
      <c r="AF10" s="38">
        <v>9</v>
      </c>
      <c r="AG10" s="38">
        <v>10</v>
      </c>
    </row>
    <row r="11" spans="1:34">
      <c r="I11" t="s">
        <v>14</v>
      </c>
      <c r="U11" s="38"/>
      <c r="V11" s="4" t="s">
        <v>18</v>
      </c>
      <c r="W11" s="4"/>
      <c r="X11" s="4">
        <v>7740798.6844139211</v>
      </c>
      <c r="Y11" s="4">
        <v>7897295.4823792512</v>
      </c>
      <c r="Z11" s="4">
        <v>7643430.1475030584</v>
      </c>
      <c r="AA11" s="4">
        <v>7649381.6389518669</v>
      </c>
      <c r="AB11" s="4">
        <v>7786286.5672222953</v>
      </c>
      <c r="AC11" s="4">
        <v>7716398.9486763887</v>
      </c>
      <c r="AD11" s="4">
        <v>7869439.1249786038</v>
      </c>
      <c r="AE11" s="4">
        <v>7806350.0820054552</v>
      </c>
      <c r="AF11" s="4">
        <v>7721887.1413852442</v>
      </c>
      <c r="AG11" s="4">
        <v>7872235.6562952278</v>
      </c>
      <c r="AH11" t="s">
        <v>44</v>
      </c>
    </row>
    <row r="12" spans="1:34">
      <c r="B12" t="s">
        <v>6</v>
      </c>
      <c r="C12" t="s">
        <v>7</v>
      </c>
      <c r="D12" t="s">
        <v>31</v>
      </c>
      <c r="E12" t="s">
        <v>32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54</v>
      </c>
      <c r="R12" t="s">
        <v>35</v>
      </c>
      <c r="S12" t="s">
        <v>36</v>
      </c>
      <c r="T12" t="s">
        <v>113</v>
      </c>
      <c r="U12" s="38" t="s">
        <v>20</v>
      </c>
      <c r="V12" s="4"/>
      <c r="W12" s="4" t="s">
        <v>19</v>
      </c>
      <c r="X12" s="4">
        <v>296970884.95530957</v>
      </c>
      <c r="Y12" s="4">
        <v>302974786.42325675</v>
      </c>
      <c r="Z12" s="4">
        <v>293235402.12568319</v>
      </c>
      <c r="AA12" s="4">
        <v>293463727.36115474</v>
      </c>
      <c r="AB12" s="4">
        <v>298715999.04018366</v>
      </c>
      <c r="AC12" s="4">
        <v>296034804.40211803</v>
      </c>
      <c r="AD12" s="4">
        <v>301906094.74864209</v>
      </c>
      <c r="AE12" s="4">
        <v>299485723.19700319</v>
      </c>
      <c r="AF12" s="4">
        <v>296245355.47210461</v>
      </c>
      <c r="AG12" s="4">
        <v>302013381.91806239</v>
      </c>
      <c r="AH12">
        <f>$B$10</f>
        <v>299711535.88531095</v>
      </c>
    </row>
    <row r="13" spans="1:34">
      <c r="A13">
        <v>1</v>
      </c>
      <c r="B13">
        <v>-1384</v>
      </c>
      <c r="C13">
        <v>1384</v>
      </c>
      <c r="D13" s="1">
        <v>1.0315E-2</v>
      </c>
      <c r="E13" s="1">
        <v>9.5300000000000003E-3</v>
      </c>
      <c r="F13">
        <f>ABS(E13-D13)</f>
        <v>7.8499999999999924E-4</v>
      </c>
      <c r="G13">
        <f>2*PI()*B13</f>
        <v>-8695.9284651365469</v>
      </c>
      <c r="H13">
        <f>2*PI()*C13</f>
        <v>8695.9284651365469</v>
      </c>
      <c r="K13">
        <f>((4*$B$3*(2*$B$4+$B$3-2*$B$2)*$B$2*(H13-G13))/(($B$5-$B$2)^2*F13)*$C$3)^2</f>
        <v>59816374117398.867</v>
      </c>
      <c r="L13">
        <f>((4*$B$6*$B$2*(G13-H13)/(($B$5-$B$2)^2*F13))*$C$4)^2</f>
        <v>12135241265.004555</v>
      </c>
      <c r="M13">
        <f>((4*$B$6*$B$5*(H13-G13)/(($B$5-$B$2)^2*F13))*$C$2)^2</f>
        <v>91454913960.423706</v>
      </c>
      <c r="O13">
        <f>4*$B$2*$B$6*ABS(H13-G13)/(($B$5-$B$2)*F13)</f>
        <v>296970884.95530957</v>
      </c>
      <c r="P13">
        <f>SQRT(K13+L13+M13)</f>
        <v>7740798.6844139211</v>
      </c>
      <c r="Q13">
        <f>SQRT(P13^2+$P$26^2)</f>
        <v>8493674.6618372109</v>
      </c>
      <c r="R13" s="2">
        <f>Q13/O13</f>
        <v>2.8601034957064574E-2</v>
      </c>
      <c r="S13" s="2">
        <f>(O13-$B$10)/P13</f>
        <v>-0.35405273302348916</v>
      </c>
      <c r="T13">
        <f>(S13)^2</f>
        <v>0.12535333776140209</v>
      </c>
      <c r="U13" s="38">
        <v>1</v>
      </c>
      <c r="V13" s="4">
        <f>P13</f>
        <v>7740798.6844139211</v>
      </c>
      <c r="W13" s="4">
        <f>O13</f>
        <v>296970884.95530957</v>
      </c>
      <c r="X13" s="16">
        <f>ABS(($W13-X$12)/SQRT($V13^2+X$11^2))</f>
        <v>0</v>
      </c>
      <c r="Y13" s="17">
        <f t="shared" ref="Y13:AG22" si="0">ABS(($W13-Y$12)/SQRT($V13^2+Y$11^2))</f>
        <v>0.5429289308065337</v>
      </c>
      <c r="Z13" s="17">
        <f t="shared" si="0"/>
        <v>0.34338183166618413</v>
      </c>
      <c r="AA13" s="17">
        <f t="shared" si="0"/>
        <v>0.32226928036606012</v>
      </c>
      <c r="AB13" s="17">
        <f t="shared" si="0"/>
        <v>0.1589450547989644</v>
      </c>
      <c r="AC13" s="17">
        <f t="shared" si="0"/>
        <v>8.5643995496220607E-2</v>
      </c>
      <c r="AD13" s="17">
        <f t="shared" si="0"/>
        <v>0.4470914365323469</v>
      </c>
      <c r="AE13" s="17">
        <f t="shared" si="0"/>
        <v>0.22875491770435824</v>
      </c>
      <c r="AF13" s="17">
        <f t="shared" si="0"/>
        <v>6.6356704081433113E-2</v>
      </c>
      <c r="AG13" s="17">
        <f t="shared" si="0"/>
        <v>0.45672831808302555</v>
      </c>
      <c r="AH13">
        <f t="shared" ref="AH13:AH22" si="1">$B$10</f>
        <v>299711535.88531095</v>
      </c>
    </row>
    <row r="14" spans="1:34">
      <c r="A14">
        <v>2</v>
      </c>
      <c r="B14">
        <v>-1388</v>
      </c>
      <c r="C14">
        <v>1382</v>
      </c>
      <c r="D14" s="1">
        <v>1.031E-2</v>
      </c>
      <c r="E14" s="1">
        <v>9.5399999999999999E-3</v>
      </c>
      <c r="F14">
        <f t="shared" ref="F14:F22" si="2">ABS(E14-D14)</f>
        <v>7.6999999999999985E-4</v>
      </c>
      <c r="G14">
        <f t="shared" ref="G14:H22" si="3">2*PI()*B14</f>
        <v>-8721.0612063652661</v>
      </c>
      <c r="H14">
        <f t="shared" si="3"/>
        <v>8683.3620945221883</v>
      </c>
      <c r="K14">
        <f t="shared" ref="K14:K22" si="4">((4*$B$3*(2*$B$4+$B$3-2*$B$2)*$B$2*(H14-G14))/(($B$5-$B$2)^2*F14)*$C$3)^2</f>
        <v>62259454847099.813</v>
      </c>
      <c r="L14">
        <f t="shared" ref="L14:L22" si="5">((4*$B$6*$B$2*(G14-H14)/(($B$5-$B$2)^2*F14))*$C$4)^2</f>
        <v>12630881037.930555</v>
      </c>
      <c r="M14">
        <f t="shared" ref="M14:M22" si="6">((4*$B$6*$B$5*(H14-G14)/(($B$5-$B$2)^2*F14))*$C$2)^2</f>
        <v>95190207869.991867</v>
      </c>
      <c r="O14">
        <f t="shared" ref="O14:O22" si="7">4*$B$2*$B$6*ABS(H14-G14)/(($B$5-$B$2)*F14)</f>
        <v>302974786.42325675</v>
      </c>
      <c r="P14">
        <f t="shared" ref="P14:P22" si="8">SQRT(K14+L14+M14)</f>
        <v>7897295.4823792512</v>
      </c>
      <c r="Q14">
        <f t="shared" ref="Q14:Q22" si="9">SQRT(P14^2+$P$26^2)</f>
        <v>8636539.8699084856</v>
      </c>
      <c r="R14" s="2">
        <f t="shared" ref="R14:R22" si="10">Q14/O14</f>
        <v>2.8505803970906053E-2</v>
      </c>
      <c r="S14" s="2">
        <f>(O14-$B$10)/P14</f>
        <v>0.41321114870614845</v>
      </c>
      <c r="T14">
        <f t="shared" ref="T14:T22" si="11">(S14)^2</f>
        <v>0.17074345341505473</v>
      </c>
      <c r="U14" s="38">
        <v>2</v>
      </c>
      <c r="V14" s="37">
        <f t="shared" ref="V14:V22" si="12">P14</f>
        <v>7897295.4823792512</v>
      </c>
      <c r="W14" s="4">
        <f t="shared" ref="W14:W22" si="13">O14</f>
        <v>302974786.42325675</v>
      </c>
      <c r="X14" s="18">
        <f t="shared" ref="X14:AG22" si="14">ABS(($W14-X$12)/SQRT($V14^2+X$11^2))</f>
        <v>0.5429289308065337</v>
      </c>
      <c r="Y14" s="19">
        <f t="shared" si="14"/>
        <v>0</v>
      </c>
      <c r="Z14" s="19">
        <f t="shared" si="14"/>
        <v>0.88617046157607537</v>
      </c>
      <c r="AA14" s="19">
        <f t="shared" si="14"/>
        <v>0.86506967150376646</v>
      </c>
      <c r="AB14" s="19">
        <f t="shared" si="14"/>
        <v>0.38401201940763413</v>
      </c>
      <c r="AC14" s="19">
        <f t="shared" si="14"/>
        <v>0.62854810559064134</v>
      </c>
      <c r="AD14" s="19">
        <f t="shared" si="14"/>
        <v>9.5857255101720842E-2</v>
      </c>
      <c r="AE14" s="19">
        <f t="shared" si="14"/>
        <v>0.31420715457423093</v>
      </c>
      <c r="AF14" s="19">
        <f t="shared" si="14"/>
        <v>0.60926699377039495</v>
      </c>
      <c r="AG14" s="19">
        <f t="shared" si="14"/>
        <v>8.6218769693209699E-2</v>
      </c>
      <c r="AH14">
        <f t="shared" si="1"/>
        <v>299711535.88531095</v>
      </c>
    </row>
    <row r="15" spans="1:34">
      <c r="A15">
        <v>3</v>
      </c>
      <c r="B15">
        <v>-1395</v>
      </c>
      <c r="C15">
        <v>1373</v>
      </c>
      <c r="D15" s="1">
        <v>1.0319999999999999E-2</v>
      </c>
      <c r="E15" s="1">
        <v>9.5250000000000005E-3</v>
      </c>
      <c r="F15">
        <f t="shared" si="2"/>
        <v>7.9499999999999883E-4</v>
      </c>
      <c r="G15">
        <f t="shared" si="3"/>
        <v>-8765.0435035155224</v>
      </c>
      <c r="H15">
        <f t="shared" si="3"/>
        <v>8626.8134267575715</v>
      </c>
      <c r="K15">
        <f t="shared" si="4"/>
        <v>58321023915975.094</v>
      </c>
      <c r="L15">
        <f t="shared" si="5"/>
        <v>11831872233.736702</v>
      </c>
      <c r="M15">
        <f t="shared" si="6"/>
        <v>89168631549.799683</v>
      </c>
      <c r="O15">
        <f t="shared" si="7"/>
        <v>293235402.12568319</v>
      </c>
      <c r="P15">
        <f t="shared" si="8"/>
        <v>7643430.1475030584</v>
      </c>
      <c r="Q15">
        <f t="shared" si="9"/>
        <v>8405032.3859143928</v>
      </c>
      <c r="R15" s="2">
        <f t="shared" si="10"/>
        <v>2.8663088852797947E-2</v>
      </c>
      <c r="S15" s="2">
        <f>(O15-$B$10)/P15</f>
        <v>-0.84728108122285528</v>
      </c>
      <c r="T15">
        <f t="shared" si="11"/>
        <v>0.71788523059817066</v>
      </c>
      <c r="U15" s="38">
        <v>3</v>
      </c>
      <c r="V15" s="4">
        <f t="shared" si="12"/>
        <v>7643430.1475030584</v>
      </c>
      <c r="W15" s="4">
        <f t="shared" si="13"/>
        <v>293235402.12568319</v>
      </c>
      <c r="X15" s="20">
        <f t="shared" si="14"/>
        <v>0.34338183166618413</v>
      </c>
      <c r="Y15" s="21">
        <f t="shared" si="0"/>
        <v>0.88617046157607537</v>
      </c>
      <c r="Z15" s="21">
        <f t="shared" si="0"/>
        <v>0</v>
      </c>
      <c r="AA15" s="21">
        <f t="shared" si="0"/>
        <v>2.1114535684654781E-2</v>
      </c>
      <c r="AB15" s="21">
        <f t="shared" si="0"/>
        <v>0.50230360371763316</v>
      </c>
      <c r="AC15" s="21">
        <f t="shared" si="0"/>
        <v>0.25774427359406327</v>
      </c>
      <c r="AD15" s="21">
        <f t="shared" si="0"/>
        <v>0.79037022158813086</v>
      </c>
      <c r="AE15" s="21">
        <f t="shared" si="0"/>
        <v>0.5720985848692387</v>
      </c>
      <c r="AF15" s="21">
        <f t="shared" si="0"/>
        <v>0.27703048849282497</v>
      </c>
      <c r="AG15" s="21">
        <f t="shared" si="0"/>
        <v>0.8000035991123513</v>
      </c>
      <c r="AH15">
        <f t="shared" si="1"/>
        <v>299711535.88531095</v>
      </c>
    </row>
    <row r="16" spans="1:34">
      <c r="A16">
        <v>4</v>
      </c>
      <c r="B16">
        <v>-1410</v>
      </c>
      <c r="C16">
        <v>1395</v>
      </c>
      <c r="D16" s="1">
        <v>1.0330000000000001E-2</v>
      </c>
      <c r="E16" s="1">
        <v>9.5250000000000005E-3</v>
      </c>
      <c r="F16">
        <f t="shared" si="2"/>
        <v>8.0500000000000016E-4</v>
      </c>
      <c r="G16">
        <f t="shared" si="3"/>
        <v>-8859.291283123217</v>
      </c>
      <c r="H16">
        <f t="shared" si="3"/>
        <v>8765.0435035155224</v>
      </c>
      <c r="K16">
        <f t="shared" si="4"/>
        <v>58411881606960.367</v>
      </c>
      <c r="L16">
        <f t="shared" si="5"/>
        <v>11850304979.237518</v>
      </c>
      <c r="M16">
        <f t="shared" si="6"/>
        <v>89307546394.343674</v>
      </c>
      <c r="O16">
        <f t="shared" si="7"/>
        <v>293463727.36115474</v>
      </c>
      <c r="P16">
        <f t="shared" si="8"/>
        <v>7649381.6389518669</v>
      </c>
      <c r="Q16">
        <f t="shared" si="9"/>
        <v>8410444.9612874296</v>
      </c>
      <c r="R16" s="2">
        <f t="shared" si="10"/>
        <v>2.8659231711239776E-2</v>
      </c>
      <c r="S16" s="2">
        <f t="shared" ref="S16:S22" si="15">(O16-$B$10)/P16</f>
        <v>-0.81677301761770904</v>
      </c>
      <c r="T16">
        <f t="shared" si="11"/>
        <v>0.66711816230833842</v>
      </c>
      <c r="U16" s="38">
        <v>4</v>
      </c>
      <c r="V16" s="4">
        <f t="shared" si="12"/>
        <v>7649381.6389518669</v>
      </c>
      <c r="W16" s="4">
        <f t="shared" si="13"/>
        <v>293463727.36115474</v>
      </c>
      <c r="X16" s="18">
        <f t="shared" si="14"/>
        <v>0.32226928036606012</v>
      </c>
      <c r="Y16" s="19">
        <f t="shared" si="0"/>
        <v>0.86506967150376646</v>
      </c>
      <c r="Z16" s="19">
        <f t="shared" si="0"/>
        <v>2.1114535684654781E-2</v>
      </c>
      <c r="AA16" s="19">
        <f t="shared" si="0"/>
        <v>0</v>
      </c>
      <c r="AB16" s="19">
        <f t="shared" si="0"/>
        <v>0.48119340223151852</v>
      </c>
      <c r="AC16" s="19">
        <f t="shared" si="0"/>
        <v>0.23663083159510104</v>
      </c>
      <c r="AD16" s="19">
        <f t="shared" si="0"/>
        <v>0.76926658803370895</v>
      </c>
      <c r="AE16" s="19">
        <f t="shared" si="0"/>
        <v>0.55098970159128069</v>
      </c>
      <c r="AF16" s="19">
        <f t="shared" si="0"/>
        <v>0.25591722413949625</v>
      </c>
      <c r="AG16" s="19">
        <f t="shared" si="0"/>
        <v>0.77890023661096619</v>
      </c>
      <c r="AH16">
        <f t="shared" si="1"/>
        <v>299711535.88531095</v>
      </c>
    </row>
    <row r="17" spans="1:34">
      <c r="A17">
        <v>5</v>
      </c>
      <c r="B17">
        <v>-1405</v>
      </c>
      <c r="C17">
        <v>1397</v>
      </c>
      <c r="D17" s="1">
        <v>1.0319999999999999E-2</v>
      </c>
      <c r="E17" s="1">
        <v>9.5300000000000003E-3</v>
      </c>
      <c r="F17">
        <f t="shared" si="2"/>
        <v>7.8999999999999904E-4</v>
      </c>
      <c r="G17">
        <f t="shared" si="3"/>
        <v>-8827.8753565873194</v>
      </c>
      <c r="H17">
        <f t="shared" si="3"/>
        <v>8777.6098741298811</v>
      </c>
      <c r="K17">
        <f t="shared" si="4"/>
        <v>60521447304067.625</v>
      </c>
      <c r="L17">
        <f t="shared" si="5"/>
        <v>12278282921.339622</v>
      </c>
      <c r="M17">
        <f t="shared" si="6"/>
        <v>92532919917.38855</v>
      </c>
      <c r="O17">
        <f t="shared" si="7"/>
        <v>298715999.04018366</v>
      </c>
      <c r="P17">
        <f t="shared" si="8"/>
        <v>7786286.5672222953</v>
      </c>
      <c r="Q17">
        <f t="shared" si="9"/>
        <v>8535151.052876424</v>
      </c>
      <c r="R17" s="2">
        <f t="shared" si="10"/>
        <v>2.8572795164306764E-2</v>
      </c>
      <c r="S17" s="2">
        <f t="shared" si="15"/>
        <v>-0.12785771966294782</v>
      </c>
      <c r="T17">
        <f t="shared" si="11"/>
        <v>1.6347596477408952E-2</v>
      </c>
      <c r="U17" s="38">
        <v>5</v>
      </c>
      <c r="V17" s="4">
        <f t="shared" si="12"/>
        <v>7786286.5672222953</v>
      </c>
      <c r="W17" s="4">
        <f t="shared" si="13"/>
        <v>298715999.04018366</v>
      </c>
      <c r="X17" s="20">
        <f t="shared" si="14"/>
        <v>0.1589450547989644</v>
      </c>
      <c r="Y17" s="21">
        <f t="shared" si="0"/>
        <v>0.38401201940763413</v>
      </c>
      <c r="Z17" s="21">
        <f t="shared" si="0"/>
        <v>0.50230360371763316</v>
      </c>
      <c r="AA17" s="21">
        <f t="shared" si="0"/>
        <v>0.48119340223151852</v>
      </c>
      <c r="AB17" s="21">
        <f t="shared" si="0"/>
        <v>0</v>
      </c>
      <c r="AC17" s="21">
        <f t="shared" si="0"/>
        <v>0.24458622263409013</v>
      </c>
      <c r="AD17" s="21">
        <f t="shared" si="0"/>
        <v>0.28816377289571149</v>
      </c>
      <c r="AE17" s="21">
        <f t="shared" si="0"/>
        <v>6.9812018660080521E-2</v>
      </c>
      <c r="AF17" s="21">
        <f t="shared" si="0"/>
        <v>0.22529974077308995</v>
      </c>
      <c r="AG17" s="21">
        <f t="shared" si="0"/>
        <v>0.29780162348819195</v>
      </c>
      <c r="AH17">
        <f t="shared" si="1"/>
        <v>299711535.88531095</v>
      </c>
    </row>
    <row r="18" spans="1:34">
      <c r="A18">
        <v>6</v>
      </c>
      <c r="B18">
        <v>-1416</v>
      </c>
      <c r="C18">
        <v>1396</v>
      </c>
      <c r="D18" s="1">
        <v>1.0319999999999999E-2</v>
      </c>
      <c r="E18" s="1">
        <v>9.5200000000000007E-3</v>
      </c>
      <c r="F18">
        <f t="shared" si="2"/>
        <v>7.9999999999999863E-4</v>
      </c>
      <c r="G18">
        <f t="shared" si="3"/>
        <v>-8896.9903949662948</v>
      </c>
      <c r="H18">
        <f t="shared" si="3"/>
        <v>8771.3266888227026</v>
      </c>
      <c r="K18">
        <f t="shared" si="4"/>
        <v>59439874602765.906</v>
      </c>
      <c r="L18">
        <f t="shared" si="5"/>
        <v>12058858961.435619</v>
      </c>
      <c r="M18">
        <f t="shared" si="6"/>
        <v>90879273406.729828</v>
      </c>
      <c r="O18">
        <f t="shared" si="7"/>
        <v>296034804.40211803</v>
      </c>
      <c r="P18">
        <f t="shared" si="8"/>
        <v>7716398.9486763887</v>
      </c>
      <c r="Q18">
        <f t="shared" si="9"/>
        <v>8471443.6623072233</v>
      </c>
      <c r="R18" s="2">
        <f t="shared" si="10"/>
        <v>2.8616377318931938E-2</v>
      </c>
      <c r="S18" s="2">
        <f t="shared" si="15"/>
        <v>-0.47648281376426227</v>
      </c>
      <c r="T18">
        <f t="shared" si="11"/>
        <v>0.22703587181270865</v>
      </c>
      <c r="U18" s="38">
        <v>6</v>
      </c>
      <c r="V18" s="4">
        <f t="shared" si="12"/>
        <v>7716398.9486763887</v>
      </c>
      <c r="W18" s="4">
        <f t="shared" si="13"/>
        <v>296034804.40211803</v>
      </c>
      <c r="X18" s="18">
        <f t="shared" si="14"/>
        <v>8.5643995496220607E-2</v>
      </c>
      <c r="Y18" s="19">
        <f t="shared" si="0"/>
        <v>0.62854810559064134</v>
      </c>
      <c r="Z18" s="19">
        <f t="shared" si="0"/>
        <v>0.25774427359406327</v>
      </c>
      <c r="AA18" s="19">
        <f t="shared" si="0"/>
        <v>0.23663083159510104</v>
      </c>
      <c r="AB18" s="19">
        <f t="shared" si="0"/>
        <v>0.24458622263409013</v>
      </c>
      <c r="AC18" s="19">
        <f t="shared" si="0"/>
        <v>0</v>
      </c>
      <c r="AD18" s="19">
        <f t="shared" si="0"/>
        <v>0.53271810867911518</v>
      </c>
      <c r="AE18" s="19">
        <f t="shared" si="0"/>
        <v>0.31439368212627161</v>
      </c>
      <c r="AF18" s="19">
        <f t="shared" si="0"/>
        <v>1.9287384505973816E-2</v>
      </c>
      <c r="AG18" s="19">
        <f t="shared" si="0"/>
        <v>0.54235429674069047</v>
      </c>
      <c r="AH18">
        <f t="shared" si="1"/>
        <v>299711535.88531095</v>
      </c>
    </row>
    <row r="19" spans="1:34">
      <c r="A19">
        <v>7</v>
      </c>
      <c r="B19">
        <v>-1420</v>
      </c>
      <c r="C19">
        <v>1394</v>
      </c>
      <c r="D19" s="1">
        <v>1.0315E-2</v>
      </c>
      <c r="E19" s="1">
        <v>9.5300000000000003E-3</v>
      </c>
      <c r="F19">
        <f t="shared" si="2"/>
        <v>7.8499999999999924E-4</v>
      </c>
      <c r="G19">
        <f t="shared" si="3"/>
        <v>-8922.1231361950122</v>
      </c>
      <c r="H19">
        <f t="shared" si="3"/>
        <v>8758.760318208344</v>
      </c>
      <c r="K19">
        <f t="shared" si="4"/>
        <v>61821010352174.398</v>
      </c>
      <c r="L19">
        <f t="shared" si="5"/>
        <v>12541931652.319347</v>
      </c>
      <c r="M19">
        <f t="shared" si="6"/>
        <v>94519857917.299561</v>
      </c>
      <c r="O19">
        <f t="shared" si="7"/>
        <v>301906094.74864209</v>
      </c>
      <c r="P19">
        <f t="shared" si="8"/>
        <v>7869439.1249786038</v>
      </c>
      <c r="Q19">
        <f t="shared" si="9"/>
        <v>8611075.2598183211</v>
      </c>
      <c r="R19" s="2">
        <f t="shared" si="10"/>
        <v>2.8522363110912493E-2</v>
      </c>
      <c r="S19" s="2">
        <f t="shared" si="15"/>
        <v>0.27887106418617935</v>
      </c>
      <c r="T19">
        <f t="shared" si="11"/>
        <v>7.7769070440332169E-2</v>
      </c>
      <c r="U19" s="38">
        <v>7</v>
      </c>
      <c r="V19" s="4">
        <f t="shared" si="12"/>
        <v>7869439.1249786038</v>
      </c>
      <c r="W19" s="4">
        <f t="shared" si="13"/>
        <v>301906094.74864209</v>
      </c>
      <c r="X19" s="20">
        <f t="shared" si="14"/>
        <v>0.4470914365323469</v>
      </c>
      <c r="Y19" s="21">
        <f t="shared" si="0"/>
        <v>9.5857255101720842E-2</v>
      </c>
      <c r="Z19" s="21">
        <f t="shared" si="0"/>
        <v>0.79037022158813086</v>
      </c>
      <c r="AA19" s="21">
        <f t="shared" si="0"/>
        <v>0.76926658803370895</v>
      </c>
      <c r="AB19" s="21">
        <f t="shared" si="0"/>
        <v>0.28816377289571149</v>
      </c>
      <c r="AC19" s="21">
        <f t="shared" si="0"/>
        <v>0.53271810867911518</v>
      </c>
      <c r="AD19" s="21">
        <f t="shared" si="0"/>
        <v>0</v>
      </c>
      <c r="AE19" s="21">
        <f t="shared" si="0"/>
        <v>0.21835548488123552</v>
      </c>
      <c r="AF19" s="21">
        <f t="shared" si="0"/>
        <v>0.51343520435982481</v>
      </c>
      <c r="AG19" s="21">
        <f t="shared" si="0"/>
        <v>9.6385530622859639E-3</v>
      </c>
      <c r="AH19">
        <f t="shared" si="1"/>
        <v>299711535.88531095</v>
      </c>
    </row>
    <row r="20" spans="1:34">
      <c r="A20">
        <v>8</v>
      </c>
      <c r="B20">
        <v>-1428</v>
      </c>
      <c r="C20">
        <v>1399</v>
      </c>
      <c r="D20" s="1">
        <v>1.0335E-2</v>
      </c>
      <c r="E20" s="1">
        <v>9.5399999999999999E-3</v>
      </c>
      <c r="F20">
        <f t="shared" si="2"/>
        <v>7.9500000000000057E-4</v>
      </c>
      <c r="G20">
        <f t="shared" si="3"/>
        <v>-8972.3886186524487</v>
      </c>
      <c r="H20">
        <f t="shared" si="3"/>
        <v>8790.1762447442416</v>
      </c>
      <c r="K20">
        <f t="shared" si="4"/>
        <v>60833749554123.516</v>
      </c>
      <c r="L20">
        <f t="shared" si="5"/>
        <v>12341641210.904186</v>
      </c>
      <c r="M20">
        <f t="shared" si="6"/>
        <v>93010407492.152832</v>
      </c>
      <c r="O20">
        <f t="shared" si="7"/>
        <v>299485723.19700319</v>
      </c>
      <c r="P20">
        <f t="shared" si="8"/>
        <v>7806350.0820054552</v>
      </c>
      <c r="Q20">
        <f t="shared" si="9"/>
        <v>8553458.1656390727</v>
      </c>
      <c r="R20" s="2">
        <f t="shared" si="10"/>
        <v>2.8560487205637398E-2</v>
      </c>
      <c r="S20" s="2">
        <f t="shared" si="15"/>
        <v>-2.8926794972760274E-2</v>
      </c>
      <c r="T20">
        <f t="shared" si="11"/>
        <v>8.3675946739610908E-4</v>
      </c>
      <c r="U20" s="38">
        <v>8</v>
      </c>
      <c r="V20" s="4">
        <f t="shared" si="12"/>
        <v>7806350.0820054552</v>
      </c>
      <c r="W20" s="4">
        <f t="shared" si="13"/>
        <v>299485723.19700319</v>
      </c>
      <c r="X20" s="18">
        <f t="shared" si="14"/>
        <v>0.22875491770435824</v>
      </c>
      <c r="Y20" s="19">
        <f t="shared" si="0"/>
        <v>0.31420715457423093</v>
      </c>
      <c r="Z20" s="19">
        <f t="shared" si="0"/>
        <v>0.5720985848692387</v>
      </c>
      <c r="AA20" s="19">
        <f t="shared" si="0"/>
        <v>0.55098970159128069</v>
      </c>
      <c r="AB20" s="19">
        <f t="shared" si="0"/>
        <v>6.9812018660080521E-2</v>
      </c>
      <c r="AC20" s="19">
        <f t="shared" si="0"/>
        <v>0.31439368212627161</v>
      </c>
      <c r="AD20" s="19">
        <f t="shared" si="0"/>
        <v>0.21835548488123552</v>
      </c>
      <c r="AE20" s="19">
        <f t="shared" si="0"/>
        <v>0</v>
      </c>
      <c r="AF20" s="19">
        <f t="shared" si="0"/>
        <v>0.29510781738678993</v>
      </c>
      <c r="AG20" s="19">
        <f t="shared" si="0"/>
        <v>0.22799363042260992</v>
      </c>
      <c r="AH20">
        <f t="shared" si="1"/>
        <v>299711535.88531095</v>
      </c>
    </row>
    <row r="21" spans="1:34">
      <c r="A21">
        <v>9</v>
      </c>
      <c r="B21">
        <v>-1416</v>
      </c>
      <c r="C21">
        <v>1398</v>
      </c>
      <c r="D21" s="1">
        <v>1.035E-2</v>
      </c>
      <c r="E21" s="1">
        <v>9.5499999999999995E-3</v>
      </c>
      <c r="F21">
        <f t="shared" si="2"/>
        <v>8.0000000000000036E-4</v>
      </c>
      <c r="G21">
        <f t="shared" si="3"/>
        <v>-8896.9903949662948</v>
      </c>
      <c r="H21">
        <f t="shared" si="3"/>
        <v>8783.8930594370613</v>
      </c>
      <c r="K21">
        <f t="shared" si="4"/>
        <v>59524456412919.617</v>
      </c>
      <c r="L21">
        <f t="shared" si="5"/>
        <v>12076018488.203856</v>
      </c>
      <c r="M21">
        <f t="shared" si="6"/>
        <v>91008592882.949585</v>
      </c>
      <c r="O21">
        <f t="shared" si="7"/>
        <v>296245355.47210461</v>
      </c>
      <c r="P21">
        <f t="shared" si="8"/>
        <v>7721887.1413852442</v>
      </c>
      <c r="Q21">
        <f t="shared" si="9"/>
        <v>8476443.0047515761</v>
      </c>
      <c r="R21" s="2">
        <f t="shared" si="10"/>
        <v>2.8612914424407724E-2</v>
      </c>
      <c r="S21" s="2">
        <f t="shared" si="15"/>
        <v>-0.4488773728159583</v>
      </c>
      <c r="T21">
        <f t="shared" si="11"/>
        <v>0.20149089582615681</v>
      </c>
      <c r="U21" s="38">
        <v>9</v>
      </c>
      <c r="V21" s="4">
        <f t="shared" si="12"/>
        <v>7721887.1413852442</v>
      </c>
      <c r="W21" s="4">
        <f t="shared" si="13"/>
        <v>296245355.47210461</v>
      </c>
      <c r="X21" s="20">
        <f t="shared" si="14"/>
        <v>6.6356704081433113E-2</v>
      </c>
      <c r="Y21" s="21">
        <f t="shared" si="0"/>
        <v>0.60926699377039495</v>
      </c>
      <c r="Z21" s="21">
        <f t="shared" si="0"/>
        <v>0.27703048849282497</v>
      </c>
      <c r="AA21" s="21">
        <f t="shared" si="0"/>
        <v>0.25591722413949625</v>
      </c>
      <c r="AB21" s="21">
        <f t="shared" si="0"/>
        <v>0.22529974077308995</v>
      </c>
      <c r="AC21" s="21">
        <f t="shared" si="0"/>
        <v>1.9287384505973816E-2</v>
      </c>
      <c r="AD21" s="21">
        <f t="shared" si="0"/>
        <v>0.51343520435982481</v>
      </c>
      <c r="AE21" s="21">
        <f t="shared" si="0"/>
        <v>0.29510781738678993</v>
      </c>
      <c r="AF21" s="21">
        <f t="shared" si="0"/>
        <v>0</v>
      </c>
      <c r="AG21" s="21">
        <f t="shared" si="0"/>
        <v>0.52307155906353509</v>
      </c>
      <c r="AH21">
        <f t="shared" si="1"/>
        <v>299711535.88531095</v>
      </c>
    </row>
    <row r="22" spans="1:34">
      <c r="A22">
        <v>10</v>
      </c>
      <c r="B22">
        <v>-1420</v>
      </c>
      <c r="C22">
        <v>1395</v>
      </c>
      <c r="D22" s="1">
        <v>1.0315E-2</v>
      </c>
      <c r="E22" s="1">
        <v>9.5300000000000003E-3</v>
      </c>
      <c r="F22">
        <f t="shared" si="2"/>
        <v>7.8499999999999924E-4</v>
      </c>
      <c r="G22">
        <f t="shared" si="3"/>
        <v>-8922.1231361950122</v>
      </c>
      <c r="H22">
        <f t="shared" si="3"/>
        <v>8765.0435035155224</v>
      </c>
      <c r="K22">
        <f t="shared" si="4"/>
        <v>61864956332910.43</v>
      </c>
      <c r="L22">
        <f t="shared" si="5"/>
        <v>12550847189.021927</v>
      </c>
      <c r="M22">
        <f t="shared" si="6"/>
        <v>94587048146.50386</v>
      </c>
      <c r="O22">
        <f t="shared" si="7"/>
        <v>302013381.91806239</v>
      </c>
      <c r="P22">
        <f t="shared" si="8"/>
        <v>7872235.6562952278</v>
      </c>
      <c r="Q22">
        <f t="shared" si="9"/>
        <v>8613631.0123406798</v>
      </c>
      <c r="R22" s="2">
        <f t="shared" si="10"/>
        <v>2.8520693214440403E-2</v>
      </c>
      <c r="S22" s="2">
        <f t="shared" si="15"/>
        <v>0.29240054963429774</v>
      </c>
      <c r="T22">
        <f t="shared" si="11"/>
        <v>8.5498081426439415E-2</v>
      </c>
      <c r="U22" s="38">
        <v>10</v>
      </c>
      <c r="V22" s="4">
        <f t="shared" si="12"/>
        <v>7872235.6562952278</v>
      </c>
      <c r="W22" s="4">
        <f t="shared" si="13"/>
        <v>302013381.91806239</v>
      </c>
      <c r="X22" s="18">
        <f t="shared" si="14"/>
        <v>0.45672831808302555</v>
      </c>
      <c r="Y22" s="19">
        <f t="shared" si="0"/>
        <v>8.6218769693209699E-2</v>
      </c>
      <c r="Z22" s="19">
        <f t="shared" si="0"/>
        <v>0.8000035991123513</v>
      </c>
      <c r="AA22" s="19">
        <f t="shared" si="0"/>
        <v>0.77890023661096619</v>
      </c>
      <c r="AB22" s="19">
        <f t="shared" si="0"/>
        <v>0.29780162348819195</v>
      </c>
      <c r="AC22" s="19">
        <f t="shared" si="0"/>
        <v>0.54235429674069047</v>
      </c>
      <c r="AD22" s="19">
        <f t="shared" si="0"/>
        <v>9.6385530622859639E-3</v>
      </c>
      <c r="AE22" s="19">
        <f t="shared" si="0"/>
        <v>0.22799363042260992</v>
      </c>
      <c r="AF22" s="19">
        <f t="shared" si="0"/>
        <v>0.52307155906353509</v>
      </c>
      <c r="AG22" s="19">
        <f t="shared" si="0"/>
        <v>0</v>
      </c>
      <c r="AH22">
        <f t="shared" si="1"/>
        <v>299711535.88531095</v>
      </c>
    </row>
    <row r="23" spans="1:34">
      <c r="D23" s="1"/>
      <c r="E23" s="1"/>
      <c r="Q23" s="2"/>
      <c r="R23" s="2"/>
      <c r="S23" s="2"/>
    </row>
    <row r="24" spans="1:34">
      <c r="C24" s="1"/>
      <c r="D24" s="1"/>
      <c r="E24" s="1"/>
      <c r="Q24" s="2"/>
      <c r="R24" s="2"/>
      <c r="S24" s="2"/>
    </row>
    <row r="25" spans="1:34">
      <c r="D25" s="1"/>
      <c r="E25" s="1"/>
      <c r="O25" t="s">
        <v>40</v>
      </c>
      <c r="P25" t="s">
        <v>63</v>
      </c>
      <c r="Q25" s="2" t="s">
        <v>61</v>
      </c>
      <c r="R25" s="2" t="s">
        <v>99</v>
      </c>
      <c r="S25" s="2"/>
    </row>
    <row r="26" spans="1:34">
      <c r="D26" s="1"/>
      <c r="O26">
        <f>AVERAGE(O13:O22)</f>
        <v>298104615.96435177</v>
      </c>
      <c r="P26">
        <f>_xlfn.STDEV.S(O13:O22)</f>
        <v>3496075.6554329824</v>
      </c>
      <c r="Q26" s="2">
        <f>P26/SQRT(COUNT(O13:O22))</f>
        <v>1105556.1943434244</v>
      </c>
      <c r="R26" s="2">
        <f>P26/O26</f>
        <v>1.1727680378659596E-2</v>
      </c>
      <c r="S26" s="2"/>
    </row>
    <row r="27" spans="1:34">
      <c r="B27" t="s">
        <v>44</v>
      </c>
      <c r="C27" t="s">
        <v>64</v>
      </c>
      <c r="D27" t="s">
        <v>39</v>
      </c>
      <c r="E27" t="s">
        <v>57</v>
      </c>
      <c r="Q27" s="2"/>
      <c r="R27" s="2"/>
      <c r="S27" s="2"/>
    </row>
    <row r="28" spans="1:34">
      <c r="B28">
        <f t="shared" ref="B28:B37" si="16">O13</f>
        <v>296970884.95530957</v>
      </c>
      <c r="C28">
        <f t="shared" ref="C28:C37" si="17">P13</f>
        <v>7740798.6844139211</v>
      </c>
      <c r="D28">
        <f>1/C28^2</f>
        <v>1.6688928508872148E-14</v>
      </c>
      <c r="E28">
        <f>D28*B28</f>
        <v>4.9561258682356565E-6</v>
      </c>
      <c r="Q28" s="2"/>
      <c r="R28" s="2"/>
      <c r="S28" s="2"/>
    </row>
    <row r="29" spans="1:34">
      <c r="B29">
        <f t="shared" si="16"/>
        <v>302974786.42325675</v>
      </c>
      <c r="C29">
        <f t="shared" si="17"/>
        <v>7897295.4823792512</v>
      </c>
      <c r="D29">
        <f t="shared" ref="D29:D37" si="18">1/C29^2</f>
        <v>1.6034049667746515E-14</v>
      </c>
      <c r="E29">
        <f t="shared" ref="E29:E37" si="19">D29*B29</f>
        <v>4.8579127735853914E-6</v>
      </c>
      <c r="Q29" s="2"/>
      <c r="R29" s="2"/>
      <c r="S29" s="2"/>
    </row>
    <row r="30" spans="1:34">
      <c r="B30">
        <f t="shared" si="16"/>
        <v>293235402.12568319</v>
      </c>
      <c r="C30">
        <f t="shared" si="17"/>
        <v>7643430.1475030584</v>
      </c>
      <c r="D30">
        <f t="shared" si="18"/>
        <v>1.7116832392096891E-14</v>
      </c>
      <c r="E30">
        <f t="shared" si="19"/>
        <v>5.0192612296144515E-6</v>
      </c>
      <c r="Q30" s="2"/>
      <c r="R30" s="2"/>
      <c r="S30" s="2"/>
    </row>
    <row r="31" spans="1:34">
      <c r="B31">
        <f t="shared" si="16"/>
        <v>293463727.36115474</v>
      </c>
      <c r="C31">
        <f t="shared" si="17"/>
        <v>7649381.6389518669</v>
      </c>
      <c r="D31">
        <f t="shared" si="18"/>
        <v>1.7090207742704622E-14</v>
      </c>
      <c r="E31">
        <f t="shared" si="19"/>
        <v>5.0153560655505651E-6</v>
      </c>
      <c r="Q31" s="2"/>
      <c r="R31" s="2"/>
      <c r="S31" s="2"/>
    </row>
    <row r="32" spans="1:34">
      <c r="B32">
        <f t="shared" si="16"/>
        <v>298715999.04018366</v>
      </c>
      <c r="C32">
        <f t="shared" si="17"/>
        <v>7786286.5672222953</v>
      </c>
      <c r="D32">
        <f t="shared" si="18"/>
        <v>1.6494502953469956E-14</v>
      </c>
      <c r="E32">
        <f t="shared" si="19"/>
        <v>4.9271719284170382E-6</v>
      </c>
      <c r="Q32" s="2"/>
      <c r="R32" s="2"/>
      <c r="S32" s="2"/>
    </row>
    <row r="33" spans="2:21">
      <c r="B33">
        <f t="shared" si="16"/>
        <v>296034804.40211803</v>
      </c>
      <c r="C33">
        <f t="shared" si="17"/>
        <v>7716398.9486763887</v>
      </c>
      <c r="D33">
        <f t="shared" si="18"/>
        <v>1.6794638245397094E-14</v>
      </c>
      <c r="E33">
        <f t="shared" si="19"/>
        <v>4.9717974479804594E-6</v>
      </c>
      <c r="Q33" s="2"/>
      <c r="R33" s="2"/>
      <c r="S33" s="2"/>
    </row>
    <row r="34" spans="2:21">
      <c r="B34">
        <f t="shared" si="16"/>
        <v>301906094.74864209</v>
      </c>
      <c r="C34">
        <f t="shared" si="17"/>
        <v>7869439.1249786038</v>
      </c>
      <c r="D34">
        <f t="shared" si="18"/>
        <v>1.6147765712957297E-14</v>
      </c>
      <c r="E34">
        <f t="shared" si="19"/>
        <v>4.87510888531496E-6</v>
      </c>
      <c r="Q34" s="2"/>
      <c r="R34" s="2"/>
      <c r="S34" s="2"/>
    </row>
    <row r="35" spans="2:21">
      <c r="B35">
        <f t="shared" si="16"/>
        <v>299485723.19700319</v>
      </c>
      <c r="C35">
        <f t="shared" si="17"/>
        <v>7806350.0820054552</v>
      </c>
      <c r="D35">
        <f t="shared" si="18"/>
        <v>1.6409825115531674E-14</v>
      </c>
      <c r="E35">
        <f t="shared" si="19"/>
        <v>4.9145083422613496E-6</v>
      </c>
      <c r="Q35" s="2"/>
      <c r="R35" s="2"/>
      <c r="S35" s="2"/>
    </row>
    <row r="36" spans="2:21">
      <c r="B36">
        <f t="shared" si="16"/>
        <v>296245355.47210461</v>
      </c>
      <c r="C36">
        <f t="shared" si="17"/>
        <v>7721887.1413852442</v>
      </c>
      <c r="D36">
        <f t="shared" si="18"/>
        <v>1.677077375356842E-14</v>
      </c>
      <c r="E36">
        <f t="shared" si="19"/>
        <v>4.9682638321681187E-6</v>
      </c>
      <c r="Q36" s="2"/>
      <c r="R36" s="2"/>
      <c r="S36" s="2"/>
    </row>
    <row r="37" spans="2:21">
      <c r="B37">
        <f t="shared" si="16"/>
        <v>302013381.91806239</v>
      </c>
      <c r="C37">
        <f t="shared" si="17"/>
        <v>7872235.6562952278</v>
      </c>
      <c r="D37">
        <f t="shared" si="18"/>
        <v>1.6136295093029388E-14</v>
      </c>
      <c r="E37">
        <f t="shared" si="19"/>
        <v>4.8733770526736402E-6</v>
      </c>
      <c r="Q37" s="2"/>
      <c r="R37" s="2"/>
      <c r="S37" s="2"/>
    </row>
    <row r="38" spans="2:21">
      <c r="D38">
        <f>SUM(D28:D37)</f>
        <v>1.6568381918537401E-13</v>
      </c>
      <c r="E38">
        <f>SUM(E28:E37)</f>
        <v>4.9378883425801636E-5</v>
      </c>
      <c r="Q38" s="2"/>
      <c r="R38" s="2"/>
      <c r="S38" s="2"/>
    </row>
    <row r="39" spans="2:21">
      <c r="Q39" s="2"/>
      <c r="R39" s="2"/>
      <c r="S39" s="2"/>
    </row>
    <row r="40" spans="2:21">
      <c r="Q40" s="2"/>
      <c r="R40" s="2"/>
      <c r="S40" s="2"/>
    </row>
    <row r="41" spans="2:21">
      <c r="K41" s="4" t="s">
        <v>102</v>
      </c>
      <c r="L41" s="4" t="s">
        <v>103</v>
      </c>
      <c r="M41" s="4" t="s">
        <v>104</v>
      </c>
      <c r="N41" s="4" t="s">
        <v>105</v>
      </c>
      <c r="O41" s="4" t="s">
        <v>106</v>
      </c>
      <c r="P41" s="4" t="s">
        <v>108</v>
      </c>
      <c r="Q41" s="4" t="s">
        <v>109</v>
      </c>
      <c r="R41" s="4" t="s">
        <v>107</v>
      </c>
      <c r="S41" s="2"/>
    </row>
    <row r="42" spans="2:21">
      <c r="B42" t="s">
        <v>47</v>
      </c>
      <c r="C42" t="s">
        <v>48</v>
      </c>
      <c r="D42" t="s">
        <v>97</v>
      </c>
      <c r="E42" t="s">
        <v>49</v>
      </c>
      <c r="F42" t="s">
        <v>98</v>
      </c>
      <c r="G42" t="s">
        <v>52</v>
      </c>
      <c r="H42" t="s">
        <v>53</v>
      </c>
      <c r="K42" s="4">
        <v>1</v>
      </c>
      <c r="L42" s="31" t="str">
        <f t="shared" ref="L42:M51" si="20">"\num{" &amp; B13 &amp; "}"</f>
        <v>\num{-1384}</v>
      </c>
      <c r="M42" s="31" t="str">
        <f t="shared" si="20"/>
        <v>\num{1384}</v>
      </c>
      <c r="N42" s="31" t="str">
        <f>"\num{" &amp; TEXT(D13/0.001, "00.00") &amp; "}"</f>
        <v>\num{10.32}</v>
      </c>
      <c r="O42" s="31" t="str">
        <f>"\num{" &amp; TEXT(E13/0.001, "00.00") &amp; "}"</f>
        <v>\num{09.53}</v>
      </c>
      <c r="P42" s="31" t="str">
        <f>"\num{" &amp; TEXT(O13/1000000, "0.00") &amp; "E+06}"</f>
        <v>\num{296.97E+06}</v>
      </c>
      <c r="Q42" s="31" t="str">
        <f>"\num{" &amp; TEXT(P13/1000000, "0.00") &amp; "E+06}"</f>
        <v>\num{7.74E+06}</v>
      </c>
      <c r="R42" s="34">
        <f>R13</f>
        <v>2.8601034957064574E-2</v>
      </c>
      <c r="S42" s="2"/>
      <c r="T42" s="2"/>
      <c r="U42" s="2"/>
    </row>
    <row r="43" spans="2:21">
      <c r="B43">
        <f>E38/D38</f>
        <v>298030813.56154925</v>
      </c>
      <c r="C43">
        <f>1/D38^(0.5)</f>
        <v>2456744.2684852304</v>
      </c>
      <c r="D43">
        <f>C43/B43</f>
        <v>8.2432559208441177E-3</v>
      </c>
      <c r="E43" s="2">
        <f>Q26</f>
        <v>1105556.1943434244</v>
      </c>
      <c r="F43" s="2">
        <f>E43/B43</f>
        <v>3.7095365446670673E-3</v>
      </c>
      <c r="G43">
        <f>SQRT(E43^2+C43^2)</f>
        <v>2694039.142177809</v>
      </c>
      <c r="H43">
        <f>G43/B43</f>
        <v>9.0394651143058287E-3</v>
      </c>
      <c r="K43" s="4">
        <v>2</v>
      </c>
      <c r="L43" s="32" t="str">
        <f t="shared" si="20"/>
        <v>\num{-1388}</v>
      </c>
      <c r="M43" s="32" t="str">
        <f t="shared" si="20"/>
        <v>\num{1382}</v>
      </c>
      <c r="N43" s="32" t="str">
        <f t="shared" ref="N43:O51" si="21">"\num{" &amp; TEXT(D14/0.001, "00.00") &amp; "}"</f>
        <v>\num{10.31}</v>
      </c>
      <c r="O43" s="32" t="str">
        <f t="shared" si="21"/>
        <v>\num{09.54}</v>
      </c>
      <c r="P43" s="32" t="str">
        <f t="shared" ref="P43:Q51" si="22">"\num{" &amp; TEXT(O14/1000000, "0.00") &amp; "E+06}"</f>
        <v>\num{302.97E+06}</v>
      </c>
      <c r="Q43" s="32" t="str">
        <f t="shared" si="22"/>
        <v>\num{7.90E+06}</v>
      </c>
      <c r="R43" s="33">
        <f>R14</f>
        <v>2.8505803970906053E-2</v>
      </c>
    </row>
    <row r="44" spans="2:21">
      <c r="K44" s="4">
        <v>3</v>
      </c>
      <c r="L44" s="31" t="str">
        <f t="shared" si="20"/>
        <v>\num{-1395}</v>
      </c>
      <c r="M44" s="34" t="str">
        <f t="shared" si="20"/>
        <v>\num{1373}</v>
      </c>
      <c r="N44" s="31" t="str">
        <f t="shared" si="21"/>
        <v>\num{10.32}</v>
      </c>
      <c r="O44" s="34" t="str">
        <f t="shared" si="21"/>
        <v>\num{09.53}</v>
      </c>
      <c r="P44" s="34" t="str">
        <f t="shared" si="22"/>
        <v>\num{293.24E+06}</v>
      </c>
      <c r="Q44" s="34" t="str">
        <f t="shared" si="22"/>
        <v>\num{7.64E+06}</v>
      </c>
      <c r="R44" s="34">
        <f>R15</f>
        <v>2.8663088852797947E-2</v>
      </c>
    </row>
    <row r="45" spans="2:21">
      <c r="B45" t="s">
        <v>36</v>
      </c>
      <c r="K45" s="4">
        <v>4</v>
      </c>
      <c r="L45" s="32" t="str">
        <f t="shared" si="20"/>
        <v>\num{-1410}</v>
      </c>
      <c r="M45" s="32" t="str">
        <f t="shared" si="20"/>
        <v>\num{1395}</v>
      </c>
      <c r="N45" s="32" t="str">
        <f t="shared" si="21"/>
        <v>\num{10.33}</v>
      </c>
      <c r="O45" s="32" t="str">
        <f t="shared" si="21"/>
        <v>\num{09.53}</v>
      </c>
      <c r="P45" s="32" t="str">
        <f t="shared" si="22"/>
        <v>\num{293.46E+06}</v>
      </c>
      <c r="Q45" s="32" t="str">
        <f t="shared" si="22"/>
        <v>\num{7.65E+06}</v>
      </c>
      <c r="R45" s="33">
        <f>R16</f>
        <v>2.8659231711239776E-2</v>
      </c>
    </row>
    <row r="46" spans="2:21">
      <c r="B46">
        <f>ABS(B10-B43)/G43</f>
        <v>0.62386707655740969</v>
      </c>
      <c r="K46" s="4">
        <v>5</v>
      </c>
      <c r="L46" s="31" t="str">
        <f t="shared" si="20"/>
        <v>\num{-1405}</v>
      </c>
      <c r="M46" s="34" t="str">
        <f t="shared" si="20"/>
        <v>\num{1397}</v>
      </c>
      <c r="N46" s="31" t="str">
        <f t="shared" si="21"/>
        <v>\num{10.32}</v>
      </c>
      <c r="O46" s="34" t="str">
        <f t="shared" si="21"/>
        <v>\num{09.53}</v>
      </c>
      <c r="P46" s="34" t="str">
        <f t="shared" si="22"/>
        <v>\num{298.72E+06}</v>
      </c>
      <c r="Q46" s="34" t="str">
        <f t="shared" si="22"/>
        <v>\num{7.79E+06}</v>
      </c>
      <c r="R46" s="34">
        <f>R17</f>
        <v>2.8572795164306764E-2</v>
      </c>
    </row>
    <row r="47" spans="2:21">
      <c r="K47" s="4">
        <v>6</v>
      </c>
      <c r="L47" s="32" t="str">
        <f t="shared" si="20"/>
        <v>\num{-1416}</v>
      </c>
      <c r="M47" s="32" t="str">
        <f t="shared" si="20"/>
        <v>\num{1396}</v>
      </c>
      <c r="N47" s="32" t="str">
        <f t="shared" si="21"/>
        <v>\num{10.32}</v>
      </c>
      <c r="O47" s="32" t="str">
        <f t="shared" si="21"/>
        <v>\num{09.52}</v>
      </c>
      <c r="P47" s="32" t="str">
        <f t="shared" si="22"/>
        <v>\num{296.03E+06}</v>
      </c>
      <c r="Q47" s="32" t="str">
        <f t="shared" si="22"/>
        <v>\num{7.72E+06}</v>
      </c>
      <c r="R47" s="33">
        <f>R18</f>
        <v>2.8616377318931938E-2</v>
      </c>
    </row>
    <row r="48" spans="2:21">
      <c r="K48" s="4">
        <v>7</v>
      </c>
      <c r="L48" s="31" t="str">
        <f t="shared" si="20"/>
        <v>\num{-1420}</v>
      </c>
      <c r="M48" s="34" t="str">
        <f t="shared" si="20"/>
        <v>\num{1394}</v>
      </c>
      <c r="N48" s="31" t="str">
        <f t="shared" si="21"/>
        <v>\num{10.32}</v>
      </c>
      <c r="O48" s="34" t="str">
        <f t="shared" si="21"/>
        <v>\num{09.53}</v>
      </c>
      <c r="P48" s="34" t="str">
        <f t="shared" si="22"/>
        <v>\num{301.91E+06}</v>
      </c>
      <c r="Q48" s="34" t="str">
        <f t="shared" si="22"/>
        <v>\num{7.87E+06}</v>
      </c>
      <c r="R48" s="34">
        <f>R19</f>
        <v>2.8522363110912493E-2</v>
      </c>
    </row>
    <row r="49" spans="11:18">
      <c r="K49" s="4">
        <v>8</v>
      </c>
      <c r="L49" s="32" t="str">
        <f t="shared" si="20"/>
        <v>\num{-1428}</v>
      </c>
      <c r="M49" s="32" t="str">
        <f t="shared" si="20"/>
        <v>\num{1399}</v>
      </c>
      <c r="N49" s="32" t="str">
        <f t="shared" si="21"/>
        <v>\num{10.34}</v>
      </c>
      <c r="O49" s="32" t="str">
        <f t="shared" si="21"/>
        <v>\num{09.54}</v>
      </c>
      <c r="P49" s="32" t="str">
        <f t="shared" si="22"/>
        <v>\num{299.49E+06}</v>
      </c>
      <c r="Q49" s="32" t="str">
        <f t="shared" si="22"/>
        <v>\num{7.81E+06}</v>
      </c>
      <c r="R49" s="33">
        <f>R20</f>
        <v>2.8560487205637398E-2</v>
      </c>
    </row>
    <row r="50" spans="11:18">
      <c r="K50" s="4">
        <v>9</v>
      </c>
      <c r="L50" s="31" t="str">
        <f t="shared" si="20"/>
        <v>\num{-1416}</v>
      </c>
      <c r="M50" s="34" t="str">
        <f t="shared" si="20"/>
        <v>\num{1398}</v>
      </c>
      <c r="N50" s="31" t="str">
        <f t="shared" si="21"/>
        <v>\num{10.35}</v>
      </c>
      <c r="O50" s="34" t="str">
        <f t="shared" si="21"/>
        <v>\num{09.55}</v>
      </c>
      <c r="P50" s="34" t="str">
        <f t="shared" si="22"/>
        <v>\num{296.25E+06}</v>
      </c>
      <c r="Q50" s="34" t="str">
        <f t="shared" si="22"/>
        <v>\num{7.72E+06}</v>
      </c>
      <c r="R50" s="34">
        <f>R21</f>
        <v>2.8612914424407724E-2</v>
      </c>
    </row>
    <row r="51" spans="11:18">
      <c r="K51" s="4">
        <v>10</v>
      </c>
      <c r="L51" s="32" t="str">
        <f t="shared" si="20"/>
        <v>\num{-1420}</v>
      </c>
      <c r="M51" s="32" t="str">
        <f t="shared" si="20"/>
        <v>\num{1395}</v>
      </c>
      <c r="N51" s="32" t="str">
        <f t="shared" si="21"/>
        <v>\num{10.32}</v>
      </c>
      <c r="O51" s="32" t="str">
        <f t="shared" si="21"/>
        <v>\num{09.53}</v>
      </c>
      <c r="P51" s="32" t="str">
        <f t="shared" si="22"/>
        <v>\num{302.01E+06}</v>
      </c>
      <c r="Q51" s="32" t="str">
        <f t="shared" si="22"/>
        <v>\num{7.87E+06}</v>
      </c>
      <c r="R51" s="33">
        <f>R22</f>
        <v>2.8520693214440403E-2</v>
      </c>
    </row>
  </sheetData>
  <conditionalFormatting sqref="X13:AG22">
    <cfRule type="cellIs" dxfId="0" priority="1" operator="greaterThan">
      <formula>1.96</formula>
    </cfRule>
  </conditionalFormatting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Misura di c</vt:lpstr>
      <vt:lpstr>Misura di c (2)</vt:lpstr>
      <vt:lpstr>Misura di c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Passaro</dc:creator>
  <cp:lastModifiedBy>Davide Passaro</cp:lastModifiedBy>
  <dcterms:created xsi:type="dcterms:W3CDTF">2016-12-03T22:19:09Z</dcterms:created>
  <dcterms:modified xsi:type="dcterms:W3CDTF">2016-12-07T13:07:35Z</dcterms:modified>
</cp:coreProperties>
</file>