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Corsi\Fisica\Laboratorio\LaboratorioOtticaElettronicaFModerna\Git\VelLuce\Data\Analyzed\"/>
    </mc:Choice>
  </mc:AlternateContent>
  <bookViews>
    <workbookView xWindow="0" yWindow="0" windowWidth="28800" windowHeight="12210" activeTab="1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4" i="1" l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AQ13" i="1" l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F43" i="4"/>
  <c r="D43" i="4"/>
  <c r="B10" i="3" l="1"/>
  <c r="AH21" i="3" s="1"/>
  <c r="B10" i="4"/>
  <c r="AH15" i="4" s="1"/>
  <c r="B18" i="2"/>
  <c r="C4" i="4"/>
  <c r="C3" i="4"/>
  <c r="C2" i="4"/>
  <c r="C4" i="1"/>
  <c r="C3" i="1"/>
  <c r="C2" i="1"/>
  <c r="C2" i="3"/>
  <c r="C4" i="3"/>
  <c r="C3" i="3"/>
  <c r="C8" i="2"/>
  <c r="C6" i="2"/>
  <c r="AH19" i="3" l="1"/>
  <c r="AH15" i="3"/>
  <c r="AH18" i="3"/>
  <c r="AH20" i="3"/>
  <c r="AH14" i="3"/>
  <c r="AH22" i="4"/>
  <c r="AH21" i="4"/>
  <c r="AH20" i="4"/>
  <c r="AH18" i="4"/>
  <c r="AH14" i="4"/>
  <c r="AH17" i="4"/>
  <c r="AH13" i="4"/>
  <c r="AH19" i="4"/>
  <c r="AH16" i="4"/>
  <c r="AH12" i="4"/>
  <c r="AH13" i="3"/>
  <c r="AH22" i="3"/>
  <c r="C5" i="3"/>
  <c r="AH17" i="3"/>
  <c r="AH16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B4" i="4"/>
  <c r="B3" i="4"/>
  <c r="B2" i="4"/>
  <c r="B5" i="4" l="1"/>
  <c r="B6" i="4"/>
  <c r="O14" i="4" s="1"/>
  <c r="B29" i="4" s="1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B4" i="3"/>
  <c r="B3" i="3"/>
  <c r="C6" i="3" s="1"/>
  <c r="B2" i="3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2" i="1"/>
  <c r="B7" i="2"/>
  <c r="B9" i="1"/>
  <c r="B6" i="2"/>
  <c r="B3" i="1"/>
  <c r="B6" i="1" s="1"/>
  <c r="C7" i="2"/>
  <c r="B4" i="1"/>
  <c r="B5" i="1" s="1"/>
  <c r="D8" i="2"/>
  <c r="B8" i="2"/>
  <c r="F13" i="1"/>
  <c r="D7" i="2"/>
  <c r="D4" i="2"/>
  <c r="D5" i="2"/>
  <c r="D6" i="2"/>
  <c r="C5" i="4" s="1"/>
  <c r="D3" i="2"/>
  <c r="O16" i="4" l="1"/>
  <c r="B31" i="4" s="1"/>
  <c r="O22" i="4"/>
  <c r="B37" i="4" s="1"/>
  <c r="O27" i="1"/>
  <c r="A53" i="1" s="1"/>
  <c r="M28" i="1"/>
  <c r="M21" i="1"/>
  <c r="K20" i="4"/>
  <c r="K22" i="4"/>
  <c r="K19" i="4"/>
  <c r="K14" i="4"/>
  <c r="K17" i="4"/>
  <c r="C6" i="4"/>
  <c r="C5" i="1"/>
  <c r="K13" i="4"/>
  <c r="W14" i="4"/>
  <c r="K16" i="4"/>
  <c r="K15" i="4"/>
  <c r="K21" i="4"/>
  <c r="L21" i="4"/>
  <c r="L19" i="4"/>
  <c r="L17" i="4"/>
  <c r="L15" i="4"/>
  <c r="L13" i="4"/>
  <c r="L20" i="4"/>
  <c r="M19" i="4"/>
  <c r="M18" i="4"/>
  <c r="L18" i="4"/>
  <c r="M17" i="4"/>
  <c r="M16" i="4"/>
  <c r="O15" i="4"/>
  <c r="B30" i="4" s="1"/>
  <c r="M22" i="4"/>
  <c r="O21" i="4"/>
  <c r="B36" i="4" s="1"/>
  <c r="L16" i="4"/>
  <c r="M15" i="4"/>
  <c r="M14" i="4"/>
  <c r="O13" i="4"/>
  <c r="L22" i="4"/>
  <c r="M21" i="4"/>
  <c r="M20" i="4"/>
  <c r="O19" i="4"/>
  <c r="B34" i="4" s="1"/>
  <c r="L14" i="4"/>
  <c r="M13" i="4"/>
  <c r="O18" i="4"/>
  <c r="B33" i="4" s="1"/>
  <c r="O17" i="4"/>
  <c r="B32" i="4" s="1"/>
  <c r="O20" i="4"/>
  <c r="B35" i="4" s="1"/>
  <c r="K18" i="4"/>
  <c r="M32" i="1"/>
  <c r="L32" i="1"/>
  <c r="M29" i="1"/>
  <c r="K29" i="1"/>
  <c r="L27" i="1"/>
  <c r="M27" i="1"/>
  <c r="B5" i="3"/>
  <c r="K17" i="3" s="1"/>
  <c r="B6" i="3"/>
  <c r="O22" i="3" s="1"/>
  <c r="A37" i="3" s="1"/>
  <c r="K25" i="1"/>
  <c r="L25" i="1"/>
  <c r="O25" i="1"/>
  <c r="A51" i="1" s="1"/>
  <c r="L23" i="1"/>
  <c r="O23" i="1"/>
  <c r="M23" i="1"/>
  <c r="K21" i="1"/>
  <c r="L21" i="1"/>
  <c r="O21" i="1"/>
  <c r="O30" i="1"/>
  <c r="K30" i="1"/>
  <c r="O22" i="1"/>
  <c r="A48" i="1" s="1"/>
  <c r="L22" i="1"/>
  <c r="L31" i="1"/>
  <c r="O24" i="1"/>
  <c r="A50" i="1" s="1"/>
  <c r="L24" i="1"/>
  <c r="O31" i="1"/>
  <c r="A57" i="1" s="1"/>
  <c r="L30" i="1"/>
  <c r="L29" i="1"/>
  <c r="O26" i="1"/>
  <c r="L26" i="1"/>
  <c r="M22" i="1"/>
  <c r="O32" i="1"/>
  <c r="O29" i="1"/>
  <c r="A55" i="1" s="1"/>
  <c r="O28" i="1"/>
  <c r="L28" i="1"/>
  <c r="M24" i="1"/>
  <c r="M20" i="1"/>
  <c r="O19" i="1"/>
  <c r="A45" i="1" s="1"/>
  <c r="K18" i="1"/>
  <c r="L17" i="1"/>
  <c r="O15" i="1"/>
  <c r="M14" i="1"/>
  <c r="O20" i="1"/>
  <c r="K15" i="1"/>
  <c r="L18" i="1"/>
  <c r="O18" i="1"/>
  <c r="A44" i="1" s="1"/>
  <c r="O17" i="1"/>
  <c r="A43" i="1" s="1"/>
  <c r="O16" i="1"/>
  <c r="O14" i="1"/>
  <c r="L14" i="1"/>
  <c r="L20" i="1"/>
  <c r="L16" i="1"/>
  <c r="M15" i="1"/>
  <c r="L19" i="1"/>
  <c r="L15" i="1"/>
  <c r="W26" i="1"/>
  <c r="O13" i="1"/>
  <c r="A39" i="1" s="1"/>
  <c r="L13" i="1"/>
  <c r="K13" i="1"/>
  <c r="W16" i="4" l="1"/>
  <c r="W22" i="4"/>
  <c r="W24" i="1"/>
  <c r="O16" i="3"/>
  <c r="W16" i="3" s="1"/>
  <c r="W27" i="1"/>
  <c r="A54" i="1"/>
  <c r="W22" i="1"/>
  <c r="A49" i="1"/>
  <c r="W13" i="1"/>
  <c r="O37" i="1"/>
  <c r="N37" i="1"/>
  <c r="A40" i="1"/>
  <c r="W14" i="1"/>
  <c r="A41" i="1"/>
  <c r="W30" i="1"/>
  <c r="W15" i="1"/>
  <c r="A42" i="1"/>
  <c r="W31" i="1"/>
  <c r="A58" i="1"/>
  <c r="O14" i="3"/>
  <c r="A29" i="3" s="1"/>
  <c r="W20" i="1"/>
  <c r="A47" i="1"/>
  <c r="W25" i="1"/>
  <c r="A52" i="1"/>
  <c r="W18" i="1"/>
  <c r="W19" i="1"/>
  <c r="A46" i="1"/>
  <c r="W29" i="1"/>
  <c r="A56" i="1"/>
  <c r="P26" i="4"/>
  <c r="O26" i="4"/>
  <c r="B28" i="4"/>
  <c r="P13" i="4"/>
  <c r="S13" i="4" s="1"/>
  <c r="K16" i="1"/>
  <c r="K20" i="1"/>
  <c r="P20" i="1" s="1"/>
  <c r="K24" i="1"/>
  <c r="P24" i="1" s="1"/>
  <c r="C6" i="1"/>
  <c r="M13" i="1"/>
  <c r="M19" i="1"/>
  <c r="K14" i="1"/>
  <c r="P14" i="1" s="1"/>
  <c r="K19" i="1"/>
  <c r="K17" i="1"/>
  <c r="M16" i="1"/>
  <c r="M18" i="1"/>
  <c r="P18" i="1" s="1"/>
  <c r="K31" i="1"/>
  <c r="K22" i="1"/>
  <c r="P22" i="1" s="1"/>
  <c r="K27" i="1"/>
  <c r="M31" i="1"/>
  <c r="M17" i="1"/>
  <c r="P29" i="1"/>
  <c r="S29" i="1" s="1"/>
  <c r="K28" i="1"/>
  <c r="P28" i="1" s="1"/>
  <c r="K32" i="1"/>
  <c r="P32" i="1" s="1"/>
  <c r="K26" i="1"/>
  <c r="M30" i="1"/>
  <c r="P30" i="1" s="1"/>
  <c r="K23" i="1"/>
  <c r="P23" i="1" s="1"/>
  <c r="M25" i="1"/>
  <c r="P25" i="1" s="1"/>
  <c r="M26" i="1"/>
  <c r="P17" i="4"/>
  <c r="S17" i="4" s="1"/>
  <c r="K14" i="3"/>
  <c r="K22" i="3"/>
  <c r="K19" i="3"/>
  <c r="P27" i="1"/>
  <c r="K13" i="3"/>
  <c r="K20" i="3"/>
  <c r="P15" i="4"/>
  <c r="P18" i="4"/>
  <c r="P14" i="4"/>
  <c r="P22" i="4"/>
  <c r="P20" i="4"/>
  <c r="P19" i="4"/>
  <c r="W15" i="4"/>
  <c r="W19" i="4"/>
  <c r="W20" i="4"/>
  <c r="P16" i="4"/>
  <c r="W17" i="4"/>
  <c r="W18" i="4"/>
  <c r="W13" i="4"/>
  <c r="W21" i="4"/>
  <c r="P21" i="4"/>
  <c r="W22" i="3"/>
  <c r="K16" i="3"/>
  <c r="K15" i="3"/>
  <c r="K21" i="3"/>
  <c r="L21" i="3"/>
  <c r="L19" i="3"/>
  <c r="L17" i="3"/>
  <c r="L15" i="3"/>
  <c r="L13" i="3"/>
  <c r="L20" i="3"/>
  <c r="M19" i="3"/>
  <c r="M18" i="3"/>
  <c r="L18" i="3"/>
  <c r="M17" i="3"/>
  <c r="M16" i="3"/>
  <c r="O15" i="3"/>
  <c r="A30" i="3" s="1"/>
  <c r="M22" i="3"/>
  <c r="O21" i="3"/>
  <c r="A36" i="3" s="1"/>
  <c r="L16" i="3"/>
  <c r="M15" i="3"/>
  <c r="M14" i="3"/>
  <c r="O13" i="3"/>
  <c r="A28" i="3" s="1"/>
  <c r="L22" i="3"/>
  <c r="M21" i="3"/>
  <c r="M20" i="3"/>
  <c r="O19" i="3"/>
  <c r="A34" i="3" s="1"/>
  <c r="L14" i="3"/>
  <c r="M13" i="3"/>
  <c r="O18" i="3"/>
  <c r="A33" i="3" s="1"/>
  <c r="O17" i="3"/>
  <c r="A32" i="3" s="1"/>
  <c r="O20" i="3"/>
  <c r="A35" i="3" s="1"/>
  <c r="K18" i="3"/>
  <c r="P21" i="1"/>
  <c r="W23" i="1"/>
  <c r="W28" i="1"/>
  <c r="W17" i="1"/>
  <c r="W16" i="1"/>
  <c r="P15" i="1"/>
  <c r="W21" i="1"/>
  <c r="V13" i="4" l="1"/>
  <c r="P19" i="1"/>
  <c r="S19" i="1" s="1"/>
  <c r="A31" i="3"/>
  <c r="P26" i="1"/>
  <c r="Q26" i="1" s="1"/>
  <c r="P16" i="1"/>
  <c r="Q16" i="1" s="1"/>
  <c r="Q26" i="4"/>
  <c r="E43" i="4" s="1"/>
  <c r="R26" i="4"/>
  <c r="Q37" i="1"/>
  <c r="W14" i="3"/>
  <c r="C31" i="4"/>
  <c r="D31" i="4" s="1"/>
  <c r="E31" i="4" s="1"/>
  <c r="Q16" i="4"/>
  <c r="R16" i="4" s="1"/>
  <c r="Q21" i="4"/>
  <c r="R21" i="4" s="1"/>
  <c r="C36" i="4"/>
  <c r="D36" i="4" s="1"/>
  <c r="E36" i="4" s="1"/>
  <c r="Q19" i="4"/>
  <c r="R19" i="4" s="1"/>
  <c r="C34" i="4"/>
  <c r="D34" i="4" s="1"/>
  <c r="E34" i="4" s="1"/>
  <c r="C33" i="4"/>
  <c r="D33" i="4" s="1"/>
  <c r="E33" i="4" s="1"/>
  <c r="Q18" i="4"/>
  <c r="R18" i="4" s="1"/>
  <c r="S20" i="4"/>
  <c r="C35" i="4"/>
  <c r="D35" i="4" s="1"/>
  <c r="E35" i="4" s="1"/>
  <c r="Q20" i="4"/>
  <c r="R20" i="4" s="1"/>
  <c r="Q15" i="4"/>
  <c r="R15" i="4" s="1"/>
  <c r="C30" i="4"/>
  <c r="D30" i="4" s="1"/>
  <c r="E30" i="4" s="1"/>
  <c r="Q17" i="4"/>
  <c r="R17" i="4" s="1"/>
  <c r="C32" i="4"/>
  <c r="D32" i="4" s="1"/>
  <c r="E32" i="4" s="1"/>
  <c r="V22" i="4"/>
  <c r="C37" i="4"/>
  <c r="D37" i="4" s="1"/>
  <c r="E37" i="4" s="1"/>
  <c r="Q22" i="4"/>
  <c r="R22" i="4" s="1"/>
  <c r="S14" i="4"/>
  <c r="C29" i="4"/>
  <c r="D29" i="4" s="1"/>
  <c r="E29" i="4" s="1"/>
  <c r="Q14" i="4"/>
  <c r="R14" i="4" s="1"/>
  <c r="C28" i="4"/>
  <c r="D28" i="4" s="1"/>
  <c r="Q13" i="4"/>
  <c r="R13" i="4" s="1"/>
  <c r="Q18" i="1"/>
  <c r="B44" i="1"/>
  <c r="C44" i="1" s="1"/>
  <c r="D44" i="1" s="1"/>
  <c r="Q24" i="1"/>
  <c r="B50" i="1"/>
  <c r="C50" i="1" s="1"/>
  <c r="D50" i="1" s="1"/>
  <c r="Q19" i="1"/>
  <c r="B45" i="1"/>
  <c r="C45" i="1" s="1"/>
  <c r="D45" i="1" s="1"/>
  <c r="Q32" i="1"/>
  <c r="R32" i="1" s="1"/>
  <c r="B58" i="1"/>
  <c r="C58" i="1" s="1"/>
  <c r="D58" i="1" s="1"/>
  <c r="S14" i="1"/>
  <c r="Q14" i="1"/>
  <c r="B40" i="1"/>
  <c r="C40" i="1" s="1"/>
  <c r="D40" i="1" s="1"/>
  <c r="B49" i="1"/>
  <c r="C49" i="1" s="1"/>
  <c r="D49" i="1" s="1"/>
  <c r="Q23" i="1"/>
  <c r="B55" i="1"/>
  <c r="C55" i="1" s="1"/>
  <c r="D55" i="1" s="1"/>
  <c r="Q29" i="1"/>
  <c r="B42" i="1"/>
  <c r="C42" i="1" s="1"/>
  <c r="D42" i="1" s="1"/>
  <c r="B51" i="1"/>
  <c r="C51" i="1" s="1"/>
  <c r="D51" i="1" s="1"/>
  <c r="Q25" i="1"/>
  <c r="Q30" i="1"/>
  <c r="B56" i="1"/>
  <c r="C56" i="1" s="1"/>
  <c r="D56" i="1" s="1"/>
  <c r="Q27" i="1"/>
  <c r="B53" i="1"/>
  <c r="C53" i="1" s="1"/>
  <c r="D53" i="1" s="1"/>
  <c r="Q28" i="1"/>
  <c r="B54" i="1"/>
  <c r="C54" i="1" s="1"/>
  <c r="D54" i="1" s="1"/>
  <c r="Q15" i="1"/>
  <c r="B41" i="1"/>
  <c r="C41" i="1" s="1"/>
  <c r="D41" i="1" s="1"/>
  <c r="Q22" i="1"/>
  <c r="B48" i="1"/>
  <c r="C48" i="1" s="1"/>
  <c r="D48" i="1" s="1"/>
  <c r="B47" i="1"/>
  <c r="C47" i="1" s="1"/>
  <c r="D47" i="1" s="1"/>
  <c r="Q21" i="1"/>
  <c r="Q20" i="1"/>
  <c r="B46" i="1"/>
  <c r="C46" i="1" s="1"/>
  <c r="D46" i="1" s="1"/>
  <c r="P31" i="1"/>
  <c r="V17" i="4"/>
  <c r="S23" i="1"/>
  <c r="S32" i="1"/>
  <c r="P17" i="1"/>
  <c r="M26" i="3"/>
  <c r="N26" i="3"/>
  <c r="S20" i="1"/>
  <c r="S31" i="1"/>
  <c r="S27" i="1"/>
  <c r="S18" i="4"/>
  <c r="V19" i="4"/>
  <c r="S19" i="4"/>
  <c r="S15" i="1"/>
  <c r="V18" i="4"/>
  <c r="S15" i="4"/>
  <c r="S16" i="1"/>
  <c r="V20" i="4"/>
  <c r="S22" i="4"/>
  <c r="V15" i="4"/>
  <c r="V14" i="4"/>
  <c r="V16" i="4"/>
  <c r="S16" i="4"/>
  <c r="V21" i="4"/>
  <c r="S21" i="4"/>
  <c r="P17" i="3"/>
  <c r="P13" i="3"/>
  <c r="S30" i="1"/>
  <c r="P15" i="3"/>
  <c r="P18" i="3"/>
  <c r="P14" i="3"/>
  <c r="P22" i="3"/>
  <c r="P20" i="3"/>
  <c r="P19" i="3"/>
  <c r="W20" i="3"/>
  <c r="P16" i="3"/>
  <c r="W17" i="3"/>
  <c r="W15" i="3"/>
  <c r="W19" i="3"/>
  <c r="W18" i="3"/>
  <c r="W13" i="3"/>
  <c r="W21" i="3"/>
  <c r="P21" i="3"/>
  <c r="S25" i="1"/>
  <c r="S21" i="1"/>
  <c r="S22" i="1"/>
  <c r="S28" i="1"/>
  <c r="S24" i="1"/>
  <c r="S18" i="1"/>
  <c r="P13" i="1"/>
  <c r="S26" i="1" l="1"/>
  <c r="P37" i="1"/>
  <c r="E63" i="1" s="1"/>
  <c r="B52" i="1"/>
  <c r="C52" i="1" s="1"/>
  <c r="D52" i="1" s="1"/>
  <c r="P26" i="3"/>
  <c r="O26" i="3"/>
  <c r="D41" i="3" s="1"/>
  <c r="X10" i="4" a="1"/>
  <c r="X10" i="4" s="1"/>
  <c r="D38" i="4"/>
  <c r="C43" i="4" s="1"/>
  <c r="G43" i="4" s="1"/>
  <c r="B24" i="2" s="1"/>
  <c r="E28" i="4"/>
  <c r="E38" i="4" s="1"/>
  <c r="R22" i="1"/>
  <c r="R25" i="1"/>
  <c r="R23" i="1"/>
  <c r="Q17" i="1"/>
  <c r="B43" i="1"/>
  <c r="C43" i="1" s="1"/>
  <c r="D43" i="1" s="1"/>
  <c r="B57" i="1"/>
  <c r="C57" i="1" s="1"/>
  <c r="D57" i="1" s="1"/>
  <c r="Q31" i="1"/>
  <c r="R15" i="1"/>
  <c r="R27" i="1"/>
  <c r="R19" i="1"/>
  <c r="S13" i="1"/>
  <c r="B39" i="1"/>
  <c r="C39" i="1" s="1"/>
  <c r="Q13" i="1"/>
  <c r="R20" i="1"/>
  <c r="R28" i="1"/>
  <c r="R30" i="1"/>
  <c r="R26" i="1"/>
  <c r="R21" i="1"/>
  <c r="R29" i="1"/>
  <c r="R14" i="1"/>
  <c r="R24" i="1"/>
  <c r="R16" i="1"/>
  <c r="R18" i="1"/>
  <c r="S17" i="1"/>
  <c r="Q16" i="3"/>
  <c r="B31" i="3"/>
  <c r="C31" i="3" s="1"/>
  <c r="D31" i="3" s="1"/>
  <c r="B32" i="3"/>
  <c r="C32" i="3" s="1"/>
  <c r="D32" i="3" s="1"/>
  <c r="Q17" i="3"/>
  <c r="Q14" i="3"/>
  <c r="B29" i="3"/>
  <c r="C29" i="3" s="1"/>
  <c r="D29" i="3" s="1"/>
  <c r="B34" i="3"/>
  <c r="C34" i="3" s="1"/>
  <c r="D34" i="3" s="1"/>
  <c r="Q19" i="3"/>
  <c r="B33" i="3"/>
  <c r="C33" i="3" s="1"/>
  <c r="D33" i="3" s="1"/>
  <c r="Q18" i="3"/>
  <c r="B37" i="3"/>
  <c r="C37" i="3" s="1"/>
  <c r="D37" i="3" s="1"/>
  <c r="Q22" i="3"/>
  <c r="B36" i="3"/>
  <c r="C36" i="3" s="1"/>
  <c r="D36" i="3" s="1"/>
  <c r="Q21" i="3"/>
  <c r="B35" i="3"/>
  <c r="C35" i="3" s="1"/>
  <c r="D35" i="3" s="1"/>
  <c r="Q20" i="3"/>
  <c r="B30" i="3"/>
  <c r="C30" i="3" s="1"/>
  <c r="D30" i="3" s="1"/>
  <c r="Q15" i="3"/>
  <c r="B28" i="3"/>
  <c r="C28" i="3" s="1"/>
  <c r="Q13" i="3"/>
  <c r="B29" i="2" l="1"/>
  <c r="C29" i="2" s="1"/>
  <c r="AD11" i="4"/>
  <c r="AG10" i="4"/>
  <c r="AF11" i="4"/>
  <c r="AF17" i="4" s="1"/>
  <c r="AC11" i="4"/>
  <c r="X12" i="4"/>
  <c r="B43" i="4"/>
  <c r="AG12" i="4"/>
  <c r="Z12" i="4"/>
  <c r="Z16" i="4" s="1"/>
  <c r="AC12" i="4"/>
  <c r="Z11" i="4"/>
  <c r="AB11" i="4"/>
  <c r="Y10" i="4"/>
  <c r="AE10" i="4"/>
  <c r="AC10" i="4"/>
  <c r="Y11" i="4"/>
  <c r="AF10" i="4"/>
  <c r="X11" i="4"/>
  <c r="AF12" i="4"/>
  <c r="AA10" i="4"/>
  <c r="AE11" i="4"/>
  <c r="AA12" i="4"/>
  <c r="Y12" i="4"/>
  <c r="AE12" i="4"/>
  <c r="AB12" i="4"/>
  <c r="AD12" i="4"/>
  <c r="AA11" i="4"/>
  <c r="AG11" i="4"/>
  <c r="Z10" i="4"/>
  <c r="AB10" i="4"/>
  <c r="AD10" i="4"/>
  <c r="R17" i="1"/>
  <c r="C59" i="1"/>
  <c r="C63" i="1" s="1"/>
  <c r="D39" i="1"/>
  <c r="D59" i="1" s="1"/>
  <c r="R31" i="1"/>
  <c r="R13" i="1"/>
  <c r="V13" i="1"/>
  <c r="V15" i="3"/>
  <c r="R15" i="3"/>
  <c r="S15" i="3"/>
  <c r="V21" i="3"/>
  <c r="R21" i="3"/>
  <c r="S21" i="3"/>
  <c r="V18" i="3"/>
  <c r="R18" i="3"/>
  <c r="S18" i="3"/>
  <c r="V13" i="3"/>
  <c r="S13" i="3"/>
  <c r="R13" i="3"/>
  <c r="V20" i="3"/>
  <c r="S20" i="3"/>
  <c r="R20" i="3"/>
  <c r="V22" i="3"/>
  <c r="S22" i="3"/>
  <c r="R22" i="3"/>
  <c r="V19" i="3"/>
  <c r="S19" i="3"/>
  <c r="R19" i="3"/>
  <c r="V17" i="3"/>
  <c r="R17" i="3"/>
  <c r="S17" i="3"/>
  <c r="D28" i="3"/>
  <c r="D38" i="3" s="1"/>
  <c r="C38" i="3"/>
  <c r="B41" i="3" s="1"/>
  <c r="S14" i="3"/>
  <c r="V14" i="3"/>
  <c r="R14" i="3"/>
  <c r="V16" i="3"/>
  <c r="R16" i="3"/>
  <c r="S16" i="3"/>
  <c r="AF19" i="4"/>
  <c r="AB14" i="4" l="1"/>
  <c r="AE16" i="4"/>
  <c r="G63" i="1"/>
  <c r="B22" i="2" s="1"/>
  <c r="B27" i="2" s="1"/>
  <c r="F41" i="3"/>
  <c r="B23" i="2" s="1"/>
  <c r="B28" i="2" s="1"/>
  <c r="C28" i="2" s="1"/>
  <c r="B63" i="1"/>
  <c r="AA16" i="4"/>
  <c r="AF14" i="4"/>
  <c r="X10" i="1" a="1"/>
  <c r="AP10" i="1" s="1"/>
  <c r="AF22" i="4"/>
  <c r="B46" i="4"/>
  <c r="C24" i="2"/>
  <c r="A29" i="2" s="1"/>
  <c r="D29" i="2" s="1"/>
  <c r="AF18" i="4"/>
  <c r="AE13" i="4"/>
  <c r="H43" i="4"/>
  <c r="AE22" i="4"/>
  <c r="AA18" i="4"/>
  <c r="AF15" i="4"/>
  <c r="AF16" i="4"/>
  <c r="AB17" i="4"/>
  <c r="AF13" i="4"/>
  <c r="AE15" i="4"/>
  <c r="AB20" i="4"/>
  <c r="AB22" i="4"/>
  <c r="AE19" i="4"/>
  <c r="AE18" i="4"/>
  <c r="AE14" i="4"/>
  <c r="AB18" i="4"/>
  <c r="AB16" i="4"/>
  <c r="AF21" i="4"/>
  <c r="AF20" i="4"/>
  <c r="AE17" i="4"/>
  <c r="AE20" i="4"/>
  <c r="AB21" i="4"/>
  <c r="AB15" i="4"/>
  <c r="AE21" i="4"/>
  <c r="AB13" i="4"/>
  <c r="AB19" i="4"/>
  <c r="X10" i="3" a="1"/>
  <c r="A41" i="3"/>
  <c r="E41" i="3" s="1"/>
  <c r="AG17" i="4"/>
  <c r="AA22" i="4"/>
  <c r="AG19" i="4"/>
  <c r="Z19" i="4"/>
  <c r="AA20" i="4"/>
  <c r="AG20" i="4"/>
  <c r="AG22" i="4"/>
  <c r="Z18" i="4"/>
  <c r="AA19" i="4"/>
  <c r="AG15" i="4"/>
  <c r="AG16" i="4"/>
  <c r="Z21" i="4"/>
  <c r="AD13" i="4"/>
  <c r="AG18" i="4"/>
  <c r="Z17" i="4"/>
  <c r="Z13" i="4"/>
  <c r="AC13" i="4"/>
  <c r="AC17" i="4"/>
  <c r="Y19" i="4"/>
  <c r="Y22" i="4"/>
  <c r="Y13" i="4"/>
  <c r="X15" i="4"/>
  <c r="AD22" i="4"/>
  <c r="AC20" i="4"/>
  <c r="Y20" i="4"/>
  <c r="AA14" i="4"/>
  <c r="AA17" i="4"/>
  <c r="Z14" i="4"/>
  <c r="AG14" i="4"/>
  <c r="AA21" i="4"/>
  <c r="AA15" i="4"/>
  <c r="AA13" i="4"/>
  <c r="AG21" i="4"/>
  <c r="AG13" i="4"/>
  <c r="AC14" i="4"/>
  <c r="Z15" i="4"/>
  <c r="Z20" i="4"/>
  <c r="Z22" i="4"/>
  <c r="X18" i="4"/>
  <c r="X19" i="4"/>
  <c r="X22" i="4"/>
  <c r="Y21" i="4"/>
  <c r="Y16" i="4"/>
  <c r="Y14" i="4"/>
  <c r="X17" i="4"/>
  <c r="X21" i="4"/>
  <c r="AC15" i="4"/>
  <c r="AC16" i="4"/>
  <c r="AD15" i="4"/>
  <c r="AD19" i="4"/>
  <c r="AD16" i="4"/>
  <c r="Y15" i="4"/>
  <c r="X13" i="4"/>
  <c r="X14" i="4"/>
  <c r="Y17" i="4"/>
  <c r="X20" i="4"/>
  <c r="X16" i="4"/>
  <c r="AC19" i="4"/>
  <c r="AC18" i="4"/>
  <c r="AC21" i="4"/>
  <c r="AC22" i="4"/>
  <c r="AD17" i="4"/>
  <c r="AD18" i="4"/>
  <c r="AD21" i="4"/>
  <c r="AD20" i="4"/>
  <c r="AD14" i="4"/>
  <c r="Y18" i="4"/>
  <c r="C22" i="2" l="1"/>
  <c r="A27" i="2" s="1"/>
  <c r="F63" i="1"/>
  <c r="D63" i="1"/>
  <c r="C41" i="3"/>
  <c r="B66" i="1"/>
  <c r="H63" i="1"/>
  <c r="AJ10" i="1"/>
  <c r="AM10" i="1"/>
  <c r="AO11" i="1"/>
  <c r="AF12" i="1"/>
  <c r="AF10" i="1"/>
  <c r="AI10" i="1"/>
  <c r="AJ12" i="1"/>
  <c r="AG10" i="1"/>
  <c r="C27" i="2"/>
  <c r="C30" i="2" s="1"/>
  <c r="I28" i="2" s="1"/>
  <c r="AL10" i="1"/>
  <c r="X10" i="1"/>
  <c r="AN10" i="1"/>
  <c r="AN11" i="1"/>
  <c r="AE10" i="1"/>
  <c r="AE11" i="1"/>
  <c r="Z10" i="1"/>
  <c r="AH12" i="1"/>
  <c r="AA11" i="1"/>
  <c r="AC10" i="1"/>
  <c r="AO10" i="1"/>
  <c r="AB12" i="1"/>
  <c r="AA10" i="1"/>
  <c r="AI11" i="1"/>
  <c r="AL12" i="1"/>
  <c r="AD12" i="1"/>
  <c r="AA12" i="1"/>
  <c r="Z11" i="1"/>
  <c r="Y11" i="1"/>
  <c r="AC11" i="1"/>
  <c r="AG11" i="1"/>
  <c r="X11" i="1"/>
  <c r="AI12" i="1"/>
  <c r="AP12" i="1"/>
  <c r="AH10" i="1"/>
  <c r="AM11" i="1"/>
  <c r="AF11" i="1"/>
  <c r="AG12" i="1"/>
  <c r="AL11" i="1"/>
  <c r="AE12" i="1"/>
  <c r="Y10" i="1"/>
  <c r="AK11" i="1"/>
  <c r="X12" i="1"/>
  <c r="AD11" i="1"/>
  <c r="AK12" i="1"/>
  <c r="AH11" i="1"/>
  <c r="Y12" i="1"/>
  <c r="AM12" i="1"/>
  <c r="AP11" i="1"/>
  <c r="AJ11" i="1"/>
  <c r="AB11" i="1"/>
  <c r="AC12" i="1"/>
  <c r="Z12" i="1"/>
  <c r="AK10" i="1"/>
  <c r="AO12" i="1"/>
  <c r="AB10" i="1"/>
  <c r="AD10" i="1"/>
  <c r="AN12" i="1"/>
  <c r="A44" i="3"/>
  <c r="C23" i="2"/>
  <c r="AE10" i="3"/>
  <c r="Y10" i="3"/>
  <c r="Z12" i="3"/>
  <c r="AG11" i="3"/>
  <c r="AA11" i="3"/>
  <c r="AD12" i="3"/>
  <c r="AF10" i="3"/>
  <c r="X10" i="3"/>
  <c r="AB11" i="3"/>
  <c r="AD10" i="3"/>
  <c r="AA12" i="3"/>
  <c r="AE11" i="3"/>
  <c r="AE12" i="3"/>
  <c r="AG12" i="3"/>
  <c r="AC11" i="3"/>
  <c r="AB12" i="3"/>
  <c r="AF11" i="3"/>
  <c r="AD11" i="3"/>
  <c r="Y12" i="3"/>
  <c r="AA10" i="3"/>
  <c r="AF12" i="3"/>
  <c r="X11" i="3"/>
  <c r="Y11" i="3"/>
  <c r="Z10" i="3"/>
  <c r="AG10" i="3"/>
  <c r="AC10" i="3"/>
  <c r="Z11" i="3"/>
  <c r="AC12" i="3"/>
  <c r="AB10" i="3"/>
  <c r="X12" i="3"/>
  <c r="G41" i="3"/>
  <c r="X19" i="1" l="1"/>
  <c r="X27" i="1"/>
  <c r="X25" i="1"/>
  <c r="X14" i="1"/>
  <c r="X22" i="1"/>
  <c r="X30" i="1"/>
  <c r="X17" i="1"/>
  <c r="X18" i="1"/>
  <c r="X26" i="1"/>
  <c r="X13" i="1"/>
  <c r="X21" i="1"/>
  <c r="X29" i="1"/>
  <c r="X31" i="1"/>
  <c r="X20" i="1"/>
  <c r="X28" i="1"/>
  <c r="X16" i="1"/>
  <c r="X24" i="1"/>
  <c r="X15" i="1"/>
  <c r="X23" i="1"/>
  <c r="AL17" i="1"/>
  <c r="AL25" i="1"/>
  <c r="AL15" i="1"/>
  <c r="AL31" i="1"/>
  <c r="AL20" i="1"/>
  <c r="AL28" i="1"/>
  <c r="AL23" i="1"/>
  <c r="AL18" i="1"/>
  <c r="AL16" i="1"/>
  <c r="AL24" i="1"/>
  <c r="AL19" i="1"/>
  <c r="AL27" i="1"/>
  <c r="AL13" i="1"/>
  <c r="AL26" i="1"/>
  <c r="AL30" i="1"/>
  <c r="AL22" i="1"/>
  <c r="AL14" i="1"/>
  <c r="AL21" i="1"/>
  <c r="AL29" i="1"/>
  <c r="AE14" i="1"/>
  <c r="AE22" i="1"/>
  <c r="AE30" i="1"/>
  <c r="AE28" i="1"/>
  <c r="AE17" i="1"/>
  <c r="AE25" i="1"/>
  <c r="AE20" i="1"/>
  <c r="AE15" i="1"/>
  <c r="AE13" i="1"/>
  <c r="AE21" i="1"/>
  <c r="AE29" i="1"/>
  <c r="AE16" i="1"/>
  <c r="AE24" i="1"/>
  <c r="AE23" i="1"/>
  <c r="AE19" i="1"/>
  <c r="AE27" i="1"/>
  <c r="AE31" i="1"/>
  <c r="AE18" i="1"/>
  <c r="AE26" i="1"/>
  <c r="AJ15" i="1"/>
  <c r="AJ23" i="1"/>
  <c r="AJ31" i="1"/>
  <c r="AJ13" i="1"/>
  <c r="AJ21" i="1"/>
  <c r="AJ16" i="1"/>
  <c r="AJ18" i="1"/>
  <c r="AJ26" i="1"/>
  <c r="AJ29" i="1"/>
  <c r="AJ14" i="1"/>
  <c r="AJ22" i="1"/>
  <c r="AJ30" i="1"/>
  <c r="AJ17" i="1"/>
  <c r="AJ25" i="1"/>
  <c r="AJ27" i="1"/>
  <c r="AJ24" i="1"/>
  <c r="AJ20" i="1"/>
  <c r="AJ19" i="1"/>
  <c r="AJ28" i="1"/>
  <c r="AA18" i="1"/>
  <c r="AA26" i="1"/>
  <c r="AA24" i="1"/>
  <c r="AA13" i="1"/>
  <c r="AA21" i="1"/>
  <c r="AA29" i="1"/>
  <c r="AA16" i="1"/>
  <c r="AA17" i="1"/>
  <c r="AA25" i="1"/>
  <c r="AA20" i="1"/>
  <c r="AA28" i="1"/>
  <c r="AA15" i="1"/>
  <c r="AA23" i="1"/>
  <c r="AA14" i="1"/>
  <c r="AA27" i="1"/>
  <c r="AA22" i="1"/>
  <c r="AA19" i="1"/>
  <c r="AA30" i="1"/>
  <c r="AA31" i="1"/>
  <c r="AN19" i="1"/>
  <c r="AN27" i="1"/>
  <c r="AN25" i="1"/>
  <c r="AN14" i="1"/>
  <c r="AN22" i="1"/>
  <c r="AN30" i="1"/>
  <c r="AN17" i="1"/>
  <c r="AN18" i="1"/>
  <c r="AN26" i="1"/>
  <c r="AN13" i="1"/>
  <c r="AN21" i="1"/>
  <c r="AN16" i="1"/>
  <c r="AN28" i="1"/>
  <c r="AN29" i="1"/>
  <c r="AN24" i="1"/>
  <c r="AN15" i="1"/>
  <c r="AN31" i="1"/>
  <c r="AN23" i="1"/>
  <c r="AN20" i="1"/>
  <c r="AP13" i="1"/>
  <c r="AP21" i="1"/>
  <c r="AP29" i="1"/>
  <c r="AP19" i="1"/>
  <c r="AP14" i="1"/>
  <c r="AP16" i="1"/>
  <c r="AP24" i="1"/>
  <c r="AP27" i="1"/>
  <c r="AP20" i="1"/>
  <c r="AP28" i="1"/>
  <c r="AP15" i="1"/>
  <c r="AP23" i="1"/>
  <c r="AP30" i="1"/>
  <c r="AP26" i="1"/>
  <c r="AP18" i="1"/>
  <c r="AP25" i="1"/>
  <c r="AP31" i="1"/>
  <c r="AP17" i="1"/>
  <c r="AP22" i="1"/>
  <c r="Y16" i="1"/>
  <c r="Y24" i="1"/>
  <c r="Y30" i="1"/>
  <c r="Y19" i="1"/>
  <c r="Y27" i="1"/>
  <c r="Y14" i="1"/>
  <c r="Y22" i="1"/>
  <c r="Y17" i="1"/>
  <c r="Y15" i="1"/>
  <c r="Y23" i="1"/>
  <c r="Y31" i="1"/>
  <c r="Y18" i="1"/>
  <c r="Y26" i="1"/>
  <c r="Y20" i="1"/>
  <c r="Y29" i="1"/>
  <c r="Y21" i="1"/>
  <c r="Y28" i="1"/>
  <c r="Y25" i="1"/>
  <c r="Y13" i="1"/>
  <c r="AH13" i="1"/>
  <c r="AH21" i="1"/>
  <c r="AH29" i="1"/>
  <c r="AH27" i="1"/>
  <c r="AH16" i="1"/>
  <c r="AH24" i="1"/>
  <c r="AH19" i="1"/>
  <c r="AH14" i="1"/>
  <c r="AH20" i="1"/>
  <c r="AH28" i="1"/>
  <c r="AH15" i="1"/>
  <c r="AH23" i="1"/>
  <c r="AH18" i="1"/>
  <c r="AH26" i="1"/>
  <c r="AH31" i="1"/>
  <c r="AH17" i="1"/>
  <c r="AH22" i="1"/>
  <c r="AH25" i="1"/>
  <c r="AH30" i="1"/>
  <c r="AI18" i="1"/>
  <c r="AI26" i="1"/>
  <c r="AI16" i="1"/>
  <c r="AI13" i="1"/>
  <c r="AI21" i="1"/>
  <c r="AI29" i="1"/>
  <c r="AI24" i="1"/>
  <c r="AI17" i="1"/>
  <c r="AI25" i="1"/>
  <c r="AI20" i="1"/>
  <c r="AI28" i="1"/>
  <c r="AI15" i="1"/>
  <c r="AI22" i="1"/>
  <c r="AI31" i="1"/>
  <c r="AI23" i="1"/>
  <c r="AI14" i="1"/>
  <c r="AI19" i="1"/>
  <c r="AI27" i="1"/>
  <c r="AI30" i="1"/>
  <c r="AO16" i="1"/>
  <c r="AO24" i="1"/>
  <c r="AO14" i="1"/>
  <c r="AO30" i="1"/>
  <c r="AO19" i="1"/>
  <c r="AO27" i="1"/>
  <c r="AO22" i="1"/>
  <c r="AO17" i="1"/>
  <c r="AO15" i="1"/>
  <c r="AO23" i="1"/>
  <c r="AO31" i="1"/>
  <c r="AO18" i="1"/>
  <c r="AO26" i="1"/>
  <c r="AO20" i="1"/>
  <c r="AO28" i="1"/>
  <c r="AO29" i="1"/>
  <c r="AO13" i="1"/>
  <c r="AO25" i="1"/>
  <c r="AO21" i="1"/>
  <c r="AG16" i="1"/>
  <c r="AG24" i="1"/>
  <c r="AG22" i="1"/>
  <c r="AG17" i="1"/>
  <c r="AG19" i="1"/>
  <c r="AG27" i="1"/>
  <c r="AG14" i="1"/>
  <c r="AG30" i="1"/>
  <c r="AG15" i="1"/>
  <c r="AG23" i="1"/>
  <c r="AG31" i="1"/>
  <c r="AG18" i="1"/>
  <c r="AG26" i="1"/>
  <c r="AG13" i="1"/>
  <c r="AG25" i="1"/>
  <c r="AG21" i="1"/>
  <c r="AG20" i="1"/>
  <c r="AG29" i="1"/>
  <c r="AG28" i="1"/>
  <c r="AB15" i="1"/>
  <c r="AB23" i="1"/>
  <c r="AB31" i="1"/>
  <c r="AB29" i="1"/>
  <c r="AB18" i="1"/>
  <c r="AB26" i="1"/>
  <c r="AB13" i="1"/>
  <c r="AB21" i="1"/>
  <c r="AB16" i="1"/>
  <c r="AB14" i="1"/>
  <c r="AB22" i="1"/>
  <c r="AB30" i="1"/>
  <c r="AB17" i="1"/>
  <c r="AB25" i="1"/>
  <c r="AB20" i="1"/>
  <c r="AB19" i="1"/>
  <c r="AB28" i="1"/>
  <c r="AB27" i="1"/>
  <c r="AB24" i="1"/>
  <c r="AD17" i="1"/>
  <c r="AD25" i="1"/>
  <c r="AD23" i="1"/>
  <c r="AD18" i="1"/>
  <c r="AD20" i="1"/>
  <c r="AD28" i="1"/>
  <c r="AD15" i="1"/>
  <c r="AD31" i="1"/>
  <c r="AD16" i="1"/>
  <c r="AD24" i="1"/>
  <c r="AD19" i="1"/>
  <c r="AD27" i="1"/>
  <c r="AD22" i="1"/>
  <c r="AD14" i="1"/>
  <c r="AD29" i="1"/>
  <c r="AD21" i="1"/>
  <c r="AD30" i="1"/>
  <c r="AD26" i="1"/>
  <c r="AD13" i="1"/>
  <c r="AK20" i="1"/>
  <c r="AK28" i="1"/>
  <c r="AK26" i="1"/>
  <c r="AK13" i="1"/>
  <c r="AK15" i="1"/>
  <c r="AK23" i="1"/>
  <c r="AK31" i="1"/>
  <c r="AK18" i="1"/>
  <c r="AK19" i="1"/>
  <c r="AK27" i="1"/>
  <c r="AK14" i="1"/>
  <c r="AK22" i="1"/>
  <c r="AK30" i="1"/>
  <c r="AK24" i="1"/>
  <c r="AK17" i="1"/>
  <c r="AK25" i="1"/>
  <c r="AK21" i="1"/>
  <c r="AK29" i="1"/>
  <c r="AK16" i="1"/>
  <c r="AF19" i="1"/>
  <c r="AF27" i="1"/>
  <c r="AF17" i="1"/>
  <c r="AF14" i="1"/>
  <c r="AF22" i="1"/>
  <c r="AF30" i="1"/>
  <c r="AF25" i="1"/>
  <c r="AF18" i="1"/>
  <c r="AF26" i="1"/>
  <c r="AF13" i="1"/>
  <c r="AF21" i="1"/>
  <c r="AF29" i="1"/>
  <c r="AF20" i="1"/>
  <c r="AF15" i="1"/>
  <c r="AF24" i="1"/>
  <c r="AF23" i="1"/>
  <c r="AF28" i="1"/>
  <c r="AF16" i="1"/>
  <c r="AF31" i="1"/>
  <c r="AM14" i="1"/>
  <c r="AM22" i="1"/>
  <c r="AM30" i="1"/>
  <c r="AM20" i="1"/>
  <c r="AM15" i="1"/>
  <c r="AM17" i="1"/>
  <c r="AM25" i="1"/>
  <c r="AM28" i="1"/>
  <c r="AM13" i="1"/>
  <c r="AM21" i="1"/>
  <c r="AM29" i="1"/>
  <c r="AM16" i="1"/>
  <c r="AM24" i="1"/>
  <c r="AM19" i="1"/>
  <c r="AM26" i="1"/>
  <c r="AM18" i="1"/>
  <c r="AM27" i="1"/>
  <c r="AM31" i="1"/>
  <c r="AM23" i="1"/>
  <c r="Z13" i="1"/>
  <c r="Z21" i="1"/>
  <c r="Z29" i="1"/>
  <c r="Z19" i="1"/>
  <c r="Z16" i="1"/>
  <c r="Z24" i="1"/>
  <c r="Z27" i="1"/>
  <c r="Z14" i="1"/>
  <c r="Z20" i="1"/>
  <c r="Z28" i="1"/>
  <c r="Z15" i="1"/>
  <c r="Z23" i="1"/>
  <c r="Z22" i="1"/>
  <c r="Z31" i="1"/>
  <c r="Z17" i="1"/>
  <c r="Z30" i="1"/>
  <c r="Z26" i="1"/>
  <c r="Z18" i="1"/>
  <c r="Z25" i="1"/>
  <c r="AC20" i="1"/>
  <c r="AC28" i="1"/>
  <c r="AC18" i="1"/>
  <c r="AC15" i="1"/>
  <c r="AC23" i="1"/>
  <c r="AC31" i="1"/>
  <c r="AC26" i="1"/>
  <c r="AC13" i="1"/>
  <c r="AC19" i="1"/>
  <c r="AC27" i="1"/>
  <c r="AC14" i="1"/>
  <c r="AC22" i="1"/>
  <c r="AC24" i="1"/>
  <c r="AC29" i="1"/>
  <c r="AC17" i="1"/>
  <c r="AC21" i="1"/>
  <c r="AC30" i="1"/>
  <c r="AC16" i="1"/>
  <c r="AC25" i="1"/>
  <c r="AB14" i="3"/>
  <c r="AB18" i="3"/>
  <c r="AB22" i="3"/>
  <c r="AB20" i="3"/>
  <c r="AB17" i="3"/>
  <c r="AB21" i="3"/>
  <c r="AB15" i="3"/>
  <c r="AB19" i="3"/>
  <c r="AB16" i="3"/>
  <c r="AB13" i="3"/>
  <c r="AD13" i="3"/>
  <c r="AD17" i="3"/>
  <c r="AD21" i="3"/>
  <c r="AD14" i="3"/>
  <c r="AD18" i="3"/>
  <c r="AD22" i="3"/>
  <c r="AD15" i="3"/>
  <c r="AD19" i="3"/>
  <c r="AD16" i="3"/>
  <c r="AD20" i="3"/>
  <c r="X16" i="3"/>
  <c r="X20" i="3"/>
  <c r="X14" i="3"/>
  <c r="X18" i="3"/>
  <c r="X22" i="3"/>
  <c r="X13" i="3"/>
  <c r="X17" i="3"/>
  <c r="X21" i="3"/>
  <c r="X15" i="3"/>
  <c r="X19" i="3"/>
  <c r="AG15" i="3"/>
  <c r="AG19" i="3"/>
  <c r="AG21" i="3"/>
  <c r="AG18" i="3"/>
  <c r="AG22" i="3"/>
  <c r="AG16" i="3"/>
  <c r="AG20" i="3"/>
  <c r="AG13" i="3"/>
  <c r="AG17" i="3"/>
  <c r="AG14" i="3"/>
  <c r="AF16" i="3"/>
  <c r="AF20" i="3"/>
  <c r="AF18" i="3"/>
  <c r="AF22" i="3"/>
  <c r="AF15" i="3"/>
  <c r="AF19" i="3"/>
  <c r="AF13" i="3"/>
  <c r="AF17" i="3"/>
  <c r="AF21" i="3"/>
  <c r="AF14" i="3"/>
  <c r="AE16" i="3"/>
  <c r="AE20" i="3"/>
  <c r="AE18" i="3"/>
  <c r="AE15" i="3"/>
  <c r="AE19" i="3"/>
  <c r="AE13" i="3"/>
  <c r="AE17" i="3"/>
  <c r="AE21" i="3"/>
  <c r="AE14" i="3"/>
  <c r="AE22" i="3"/>
  <c r="AC13" i="3"/>
  <c r="AC17" i="3"/>
  <c r="AC21" i="3"/>
  <c r="AC14" i="3"/>
  <c r="AC18" i="3"/>
  <c r="AC22" i="3"/>
  <c r="AC15" i="3"/>
  <c r="AC19" i="3"/>
  <c r="AC16" i="3"/>
  <c r="AC20" i="3"/>
  <c r="Y15" i="3"/>
  <c r="Y19" i="3"/>
  <c r="Y14" i="3"/>
  <c r="Y16" i="3"/>
  <c r="Y20" i="3"/>
  <c r="Y13" i="3"/>
  <c r="Y17" i="3"/>
  <c r="Y21" i="3"/>
  <c r="Y18" i="3"/>
  <c r="Y22" i="3"/>
  <c r="AA14" i="3"/>
  <c r="AA18" i="3"/>
  <c r="AA22" i="3"/>
  <c r="AA16" i="3"/>
  <c r="AA20" i="3"/>
  <c r="AA17" i="3"/>
  <c r="AA21" i="3"/>
  <c r="AA15" i="3"/>
  <c r="AA19" i="3"/>
  <c r="AA13" i="3"/>
  <c r="Z15" i="3"/>
  <c r="Z19" i="3"/>
  <c r="Z17" i="3"/>
  <c r="Z14" i="3"/>
  <c r="Z18" i="3"/>
  <c r="Z16" i="3"/>
  <c r="Z20" i="3"/>
  <c r="Z13" i="3"/>
  <c r="Z21" i="3"/>
  <c r="Z22" i="3"/>
  <c r="D27" i="2"/>
  <c r="D19" i="2" a="1"/>
  <c r="F20" i="2" s="1"/>
  <c r="A28" i="2"/>
  <c r="D28" i="2" s="1"/>
  <c r="D30" i="2" s="1"/>
  <c r="H28" i="2" s="1"/>
  <c r="E21" i="2" l="1"/>
  <c r="D21" i="2"/>
  <c r="E20" i="2"/>
  <c r="E19" i="2"/>
  <c r="D19" i="2"/>
  <c r="F19" i="2"/>
  <c r="D20" i="2"/>
  <c r="F21" i="2"/>
  <c r="F23" i="2" s="1"/>
  <c r="J28" i="2"/>
  <c r="H31" i="2"/>
  <c r="D23" i="2" l="1"/>
  <c r="F24" i="2"/>
  <c r="E24" i="2"/>
  <c r="F22" i="2"/>
  <c r="D22" i="2"/>
  <c r="E23" i="2"/>
  <c r="E22" i="2"/>
  <c r="D24" i="2"/>
</calcChain>
</file>

<file path=xl/sharedStrings.xml><?xml version="1.0" encoding="utf-8"?>
<sst xmlns="http://schemas.openxmlformats.org/spreadsheetml/2006/main" count="195" uniqueCount="103">
  <si>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</si>
  <si>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</si>
  <si>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</si>
  <si>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</si>
  <si>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</si>
  <si>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</si>
  <si>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</si>
  <si>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</si>
  <si>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</si>
  <si>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</si>
  <si>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</si>
  <si>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</si>
  <si>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</si>
  <si>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</si>
  <si>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</si>
  <si>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</si>
  <si>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</si>
  <si>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</si>
  <si>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</si>
  <si>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</si>
  <si>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</si>
  <si>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</si>
  <si>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</si>
  <si>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</si>
  <si>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</si>
  <si>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</si>
  <si>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</si>
  <si>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Dtot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</si>
  <si>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</si>
  <si>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</si>
  <si>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</si>
  <si>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</si>
  <si>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</si>
  <si>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</si>
  <si>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</si>
  <si>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</si>
  <si>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</si>
  <si>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</si>
  <si>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</si>
  <si>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</si>
  <si>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</si>
  <si>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</si>
  <si>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</si>
  <si>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</si>
  <si>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</si>
  <si>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</si>
  <si>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</si>
  <si>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sums</t>
  </si>
  <si>
    <t>C weighted</t>
  </si>
  <si>
    <t>C strum error</t>
  </si>
  <si>
    <t>C random error</t>
  </si>
  <si>
    <t>C error percent</t>
  </si>
  <si>
    <t>C dev media</t>
  </si>
  <si>
    <t>C tot error</t>
  </si>
  <si>
    <t>C relative error</t>
  </si>
  <si>
    <t>errore strum</t>
  </si>
  <si>
    <t>C error per</t>
  </si>
  <si>
    <t>Error</t>
  </si>
  <si>
    <t>p*c</t>
  </si>
  <si>
    <t>C final</t>
  </si>
  <si>
    <t>C error strum</t>
  </si>
  <si>
    <t>C error random</t>
  </si>
  <si>
    <t>C dev med</t>
  </si>
  <si>
    <t>C error tot</t>
  </si>
  <si>
    <t>C dev std</t>
  </si>
  <si>
    <t>error</t>
  </si>
  <si>
    <t>Error rel</t>
  </si>
  <si>
    <t>C 1</t>
  </si>
  <si>
    <t>C 2</t>
  </si>
  <si>
    <t>C 3</t>
  </si>
  <si>
    <t>measure</t>
  </si>
  <si>
    <t>C final error</t>
  </si>
  <si>
    <t>C error rel</t>
  </si>
  <si>
    <t>C vero</t>
  </si>
  <si>
    <t>Hz iniziali</t>
  </si>
  <si>
    <t>error strum rel</t>
  </si>
  <si>
    <t>error rand rel</t>
  </si>
  <si>
    <t>Error strum rel</t>
  </si>
  <si>
    <t>Error rand rel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</si>
  <si>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</si>
  <si>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</si>
  <si>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</si>
  <si>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</si>
  <si>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</si>
  <si>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</si>
  <si>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</si>
  <si>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</si>
  <si>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</si>
  <si>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</si>
  <si>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</si>
  <si>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</si>
  <si>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</si>
  <si>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</si>
  <si>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</si>
  <si>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</si>
  <si>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</si>
  <si>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</si>
  <si>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</si>
  <si>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Strum error rel</t>
  </si>
  <si>
    <t>random error rel</t>
  </si>
  <si>
    <t>C rel error</t>
  </si>
  <si>
    <t>clock to counter</t>
  </si>
  <si>
    <t>Column20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</si>
</sst>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73" formatCode="0.000E+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3" borderId="0" xfId="0" applyFill="1"/>
    <xf numFmtId="0" fontId="0" fillId="4" borderId="3" xfId="0" applyFont="1" applyFill="1" applyBorder="1"/>
    <xf numFmtId="0" fontId="0" fillId="5" borderId="3" xfId="0" applyFont="1" applyFill="1" applyBorder="1"/>
    <xf numFmtId="0" fontId="0" fillId="0" borderId="4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1" xfId="0" applyFill="1" applyBorder="1"/>
    <xf numFmtId="0" fontId="0" fillId="5" borderId="8" xfId="0" applyFont="1" applyFill="1" applyBorder="1"/>
    <xf numFmtId="0" fontId="0" fillId="3" borderId="7" xfId="0" applyFill="1" applyBorder="1"/>
    <xf numFmtId="0" fontId="0" fillId="5" borderId="10" xfId="0" applyFont="1" applyFill="1" applyBorder="1"/>
    <xf numFmtId="0" fontId="0" fillId="4" borderId="11" xfId="0" applyFont="1" applyFill="1" applyBorder="1"/>
    <xf numFmtId="0" fontId="0" fillId="5" borderId="11" xfId="0" applyFont="1" applyFill="1" applyBorder="1"/>
    <xf numFmtId="0" fontId="0" fillId="3" borderId="9" xfId="0" applyFill="1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2" fontId="0" fillId="5" borderId="10" xfId="0" applyNumberFormat="1" applyFont="1" applyFill="1" applyBorder="1"/>
    <xf numFmtId="2" fontId="0" fillId="5" borderId="8" xfId="0" applyNumberFormat="1" applyFont="1" applyFill="1" applyBorder="1"/>
    <xf numFmtId="2" fontId="0" fillId="4" borderId="11" xfId="0" applyNumberFormat="1" applyFont="1" applyFill="1" applyBorder="1"/>
    <xf numFmtId="2" fontId="0" fillId="4" borderId="3" xfId="0" applyNumberFormat="1" applyFont="1" applyFill="1" applyBorder="1"/>
    <xf numFmtId="2" fontId="0" fillId="5" borderId="11" xfId="0" applyNumberFormat="1" applyFont="1" applyFill="1" applyBorder="1"/>
    <xf numFmtId="2" fontId="0" fillId="5" borderId="3" xfId="0" applyNumberFormat="1" applyFont="1" applyFill="1" applyBorder="1"/>
    <xf numFmtId="1" fontId="0" fillId="0" borderId="0" xfId="0" applyNumberFormat="1"/>
    <xf numFmtId="11" fontId="0" fillId="3" borderId="14" xfId="0" applyNumberFormat="1" applyFill="1" applyBorder="1"/>
    <xf numFmtId="11" fontId="0" fillId="3" borderId="12" xfId="0" applyNumberFormat="1" applyFill="1" applyBorder="1"/>
    <xf numFmtId="173" fontId="0" fillId="3" borderId="7" xfId="0" applyNumberFormat="1" applyFill="1" applyBorder="1"/>
    <xf numFmtId="173" fontId="0" fillId="3" borderId="9" xfId="0" applyNumberFormat="1" applyFill="1" applyBorder="1"/>
  </cellXfs>
  <cellStyles count="1">
    <cellStyle name="Normal" xfId="0" builtinId="0"/>
  </cellStyles>
  <dxfs count="20"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418527175412665"/>
          <c:y val="3.1399912385928076E-2"/>
          <c:w val="0.76959858074276355"/>
          <c:h val="0.8418491828717861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c'!$V$13:$V$42</c:f>
                <c:numCache>
                  <c:formatCode>General</c:formatCode>
                  <c:ptCount val="30"/>
                  <c:pt idx="0">
                    <c:v>12135867.314643776</c:v>
                  </c:pt>
                  <c:pt idx="1">
                    <c:v>11923104.335838627</c:v>
                  </c:pt>
                  <c:pt idx="2">
                    <c:v>11509465.705900948</c:v>
                  </c:pt>
                  <c:pt idx="3">
                    <c:v>11917686.563268071</c:v>
                  </c:pt>
                  <c:pt idx="4">
                    <c:v>11799492.486923832</c:v>
                  </c:pt>
                  <c:pt idx="5">
                    <c:v>11553582.53513561</c:v>
                  </c:pt>
                  <c:pt idx="6">
                    <c:v>11754559.347690133</c:v>
                  </c:pt>
                  <c:pt idx="7">
                    <c:v>11521876.436601106</c:v>
                  </c:pt>
                  <c:pt idx="8">
                    <c:v>11799734.702880995</c:v>
                  </c:pt>
                  <c:pt idx="9">
                    <c:v>11511224.214609219</c:v>
                  </c:pt>
                  <c:pt idx="10">
                    <c:v>11650651.725076219</c:v>
                  </c:pt>
                  <c:pt idx="11">
                    <c:v>11587409.442439195</c:v>
                  </c:pt>
                  <c:pt idx="12">
                    <c:v>11869401.803500693</c:v>
                  </c:pt>
                  <c:pt idx="13">
                    <c:v>11835105.980329342</c:v>
                  </c:pt>
                  <c:pt idx="14">
                    <c:v>11761144.772969939</c:v>
                  </c:pt>
                  <c:pt idx="15">
                    <c:v>11738123.314245939</c:v>
                  </c:pt>
                  <c:pt idx="16">
                    <c:v>11685451.078105323</c:v>
                  </c:pt>
                  <c:pt idx="17">
                    <c:v>11733200.191479869</c:v>
                  </c:pt>
                  <c:pt idx="18">
                    <c:v>11594107.523879871</c:v>
                  </c:pt>
                </c:numCache>
              </c:numRef>
            </c:plus>
            <c:minus>
              <c:numRef>
                <c:f>'Misura di c'!$V$13:$V$41</c:f>
                <c:numCache>
                  <c:formatCode>General</c:formatCode>
                  <c:ptCount val="29"/>
                  <c:pt idx="0">
                    <c:v>12135867.314643776</c:v>
                  </c:pt>
                  <c:pt idx="1">
                    <c:v>11923104.335838627</c:v>
                  </c:pt>
                  <c:pt idx="2">
                    <c:v>11509465.705900948</c:v>
                  </c:pt>
                  <c:pt idx="3">
                    <c:v>11917686.563268071</c:v>
                  </c:pt>
                  <c:pt idx="4">
                    <c:v>11799492.486923832</c:v>
                  </c:pt>
                  <c:pt idx="5">
                    <c:v>11553582.53513561</c:v>
                  </c:pt>
                  <c:pt idx="6">
                    <c:v>11754559.347690133</c:v>
                  </c:pt>
                  <c:pt idx="7">
                    <c:v>11521876.436601106</c:v>
                  </c:pt>
                  <c:pt idx="8">
                    <c:v>11799734.702880995</c:v>
                  </c:pt>
                  <c:pt idx="9">
                    <c:v>11511224.214609219</c:v>
                  </c:pt>
                  <c:pt idx="10">
                    <c:v>11650651.725076219</c:v>
                  </c:pt>
                  <c:pt idx="11">
                    <c:v>11587409.442439195</c:v>
                  </c:pt>
                  <c:pt idx="12">
                    <c:v>11869401.803500693</c:v>
                  </c:pt>
                  <c:pt idx="13">
                    <c:v>11835105.980329342</c:v>
                  </c:pt>
                  <c:pt idx="14">
                    <c:v>11761144.772969939</c:v>
                  </c:pt>
                  <c:pt idx="15">
                    <c:v>11738123.314245939</c:v>
                  </c:pt>
                  <c:pt idx="16">
                    <c:v>11685451.078105323</c:v>
                  </c:pt>
                  <c:pt idx="17">
                    <c:v>11733200.191479869</c:v>
                  </c:pt>
                  <c:pt idx="18">
                    <c:v>11594107.523879871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c'!$W$13:$W$31</c:f>
              <c:numCache>
                <c:formatCode>0.000E+00</c:formatCode>
                <c:ptCount val="19"/>
                <c:pt idx="0">
                  <c:v>309712059.55000132</c:v>
                </c:pt>
                <c:pt idx="1">
                  <c:v>281130943.72591871</c:v>
                </c:pt>
                <c:pt idx="2">
                  <c:v>309348547.74302012</c:v>
                </c:pt>
                <c:pt idx="3">
                  <c:v>301351287.98938149</c:v>
                </c:pt>
                <c:pt idx="4">
                  <c:v>284266233.06115103</c:v>
                </c:pt>
                <c:pt idx="5">
                  <c:v>298276174.59516788</c:v>
                </c:pt>
                <c:pt idx="6">
                  <c:v>282015256.10252202</c:v>
                </c:pt>
                <c:pt idx="7">
                  <c:v>301367811.25333238</c:v>
                </c:pt>
                <c:pt idx="8">
                  <c:v>281256355.29932851</c:v>
                </c:pt>
                <c:pt idx="9">
                  <c:v>291086862.49218649</c:v>
                </c:pt>
                <c:pt idx="10">
                  <c:v>286655024.935615</c:v>
                </c:pt>
                <c:pt idx="11">
                  <c:v>306097136.58055419</c:v>
                </c:pt>
                <c:pt idx="12">
                  <c:v>303774700.03593844</c:v>
                </c:pt>
                <c:pt idx="13">
                  <c:v>298728108.19303924</c:v>
                </c:pt>
                <c:pt idx="14">
                  <c:v>297146340.60049045</c:v>
                </c:pt>
                <c:pt idx="15">
                  <c:v>293507085.83868241</c:v>
                </c:pt>
                <c:pt idx="16">
                  <c:v>296807390.40208662</c:v>
                </c:pt>
                <c:pt idx="17">
                  <c:v>287126497.01610231</c:v>
                </c:pt>
                <c:pt idx="18">
                  <c:v>290646821.88373274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ser>
          <c:idx val="1"/>
          <c:order val="1"/>
          <c:tx>
            <c:v>Velocità teorica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c'!$U$13:$U$31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'Misura di c'!$AQ$13:$AQ$31</c:f>
              <c:numCache>
                <c:formatCode>General</c:formatCode>
                <c:ptCount val="19"/>
                <c:pt idx="0">
                  <c:v>299792458</c:v>
                </c:pt>
                <c:pt idx="1">
                  <c:v>299792458</c:v>
                </c:pt>
                <c:pt idx="2">
                  <c:v>299792458</c:v>
                </c:pt>
                <c:pt idx="3">
                  <c:v>299792458</c:v>
                </c:pt>
                <c:pt idx="4">
                  <c:v>299792458</c:v>
                </c:pt>
                <c:pt idx="5">
                  <c:v>299792458</c:v>
                </c:pt>
                <c:pt idx="6">
                  <c:v>299792458</c:v>
                </c:pt>
                <c:pt idx="7">
                  <c:v>299792458</c:v>
                </c:pt>
                <c:pt idx="8">
                  <c:v>299792458</c:v>
                </c:pt>
                <c:pt idx="9">
                  <c:v>299792458</c:v>
                </c:pt>
                <c:pt idx="10">
                  <c:v>299792458</c:v>
                </c:pt>
                <c:pt idx="11">
                  <c:v>299792458</c:v>
                </c:pt>
                <c:pt idx="12">
                  <c:v>299792458</c:v>
                </c:pt>
                <c:pt idx="13">
                  <c:v>299792458</c:v>
                </c:pt>
                <c:pt idx="14">
                  <c:v>299792458</c:v>
                </c:pt>
                <c:pt idx="15">
                  <c:v>299792458</c:v>
                </c:pt>
                <c:pt idx="16">
                  <c:v>299792458</c:v>
                </c:pt>
                <c:pt idx="17">
                  <c:v>299792458</c:v>
                </c:pt>
                <c:pt idx="18">
                  <c:v>299792458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1-4113-AC44-4631ED727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09439058916373"/>
          <c:y val="0.36333856815050919"/>
          <c:w val="0.10501892444055286"/>
          <c:h val="0.199104664201874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14909932411248"/>
          <c:y val="3.88845884816445E-2"/>
          <c:w val="0.67483563662877533"/>
          <c:h val="0.80415138212862092"/>
        </c:manualLayout>
      </c:layout>
      <c:scatterChart>
        <c:scatterStyle val="lineMarker"/>
        <c:varyColors val="0"/>
        <c:ser>
          <c:idx val="0"/>
          <c:order val="0"/>
          <c:tx>
            <c:v>Velocità misurata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(2)'!$V$13:$V$22</c:f>
                <c:numCache>
                  <c:formatCode>General</c:formatCode>
                  <c:ptCount val="10"/>
                  <c:pt idx="0">
                    <c:v>15429706.37609799</c:v>
                  </c:pt>
                  <c:pt idx="1">
                    <c:v>15078886.460931618</c:v>
                  </c:pt>
                  <c:pt idx="2">
                    <c:v>15363939.393962273</c:v>
                  </c:pt>
                  <c:pt idx="3">
                    <c:v>15074894.723848991</c:v>
                  </c:pt>
                  <c:pt idx="4">
                    <c:v>15089764.072389781</c:v>
                  </c:pt>
                  <c:pt idx="5">
                    <c:v>15385451.709149985</c:v>
                  </c:pt>
                  <c:pt idx="6">
                    <c:v>15376031.808424059</c:v>
                  </c:pt>
                  <c:pt idx="7">
                    <c:v>15249612.179053027</c:v>
                  </c:pt>
                  <c:pt idx="8">
                    <c:v>15484100.652599996</c:v>
                  </c:pt>
                  <c:pt idx="9">
                    <c:v>15304581.901952254</c:v>
                  </c:pt>
                </c:numCache>
              </c:numRef>
            </c:plus>
            <c:minus>
              <c:numRef>
                <c:f>'Misura di c (2)'!$V$13:$V$22</c:f>
                <c:numCache>
                  <c:formatCode>General</c:formatCode>
                  <c:ptCount val="10"/>
                  <c:pt idx="0">
                    <c:v>15429706.37609799</c:v>
                  </c:pt>
                  <c:pt idx="1">
                    <c:v>15078886.460931618</c:v>
                  </c:pt>
                  <c:pt idx="2">
                    <c:v>15363939.393962273</c:v>
                  </c:pt>
                  <c:pt idx="3">
                    <c:v>15074894.723848991</c:v>
                  </c:pt>
                  <c:pt idx="4">
                    <c:v>15089764.072389781</c:v>
                  </c:pt>
                  <c:pt idx="5">
                    <c:v>15385451.709149985</c:v>
                  </c:pt>
                  <c:pt idx="6">
                    <c:v>15376031.808424059</c:v>
                  </c:pt>
                  <c:pt idx="7">
                    <c:v>15249612.179053027</c:v>
                  </c:pt>
                  <c:pt idx="8">
                    <c:v>15484100.652599996</c:v>
                  </c:pt>
                  <c:pt idx="9">
                    <c:v>15304581.901952254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319301847.21995014</c:v>
                </c:pt>
                <c:pt idx="1">
                  <c:v>288628374.74495649</c:v>
                </c:pt>
                <c:pt idx="2">
                  <c:v>313727999.51286864</c:v>
                </c:pt>
                <c:pt idx="3">
                  <c:v>288264862.9379729</c:v>
                </c:pt>
                <c:pt idx="4">
                  <c:v>289617126.8599506</c:v>
                </c:pt>
                <c:pt idx="5">
                  <c:v>315559406.61662453</c:v>
                </c:pt>
                <c:pt idx="6">
                  <c:v>314758458.75283343</c:v>
                </c:pt>
                <c:pt idx="7">
                  <c:v>303854326.43175352</c:v>
                </c:pt>
                <c:pt idx="8">
                  <c:v>323856945.45115757</c:v>
                </c:pt>
                <c:pt idx="9">
                  <c:v>308631910.18068045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59-4EC9-9CD8-EBEE95229788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(2)'!$AH$13:$AH$22</c:f>
              <c:numCache>
                <c:formatCode>General</c:formatCode>
                <c:ptCount val="10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59-4EC9-9CD8-EBEE95229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328080"/>
        <c:axId val="398329392"/>
      </c:scatterChart>
      <c:valAx>
        <c:axId val="39832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9392"/>
        <c:crosses val="autoZero"/>
        <c:crossBetween val="midCat"/>
      </c:valAx>
      <c:valAx>
        <c:axId val="398329392"/>
        <c:scaling>
          <c:orientation val="minMax"/>
          <c:min val="25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</a:t>
                </a:r>
                <a:r>
                  <a:rPr lang="it-IT" baseline="0"/>
                  <a:t>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832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65607175451774"/>
          <c:y val="0.35117515238611369"/>
          <c:w val="0.13377717684256091"/>
          <c:h val="0.249778229807639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13392262185"/>
          <c:y val="3.6282331076141212E-2"/>
          <c:w val="0.73349208345459238"/>
          <c:h val="0.81725807905184944"/>
        </c:manualLayout>
      </c:layout>
      <c:scatterChart>
        <c:scatterStyle val="lineMarker"/>
        <c:varyColors val="0"/>
        <c:ser>
          <c:idx val="0"/>
          <c:order val="0"/>
          <c:tx>
            <c:v>Valori misurati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'Misura di c (3)'!$V$13:$V$22</c:f>
                <c:numCache>
                  <c:formatCode>General</c:formatCode>
                  <c:ptCount val="10"/>
                  <c:pt idx="0">
                    <c:v>7062974.7793081347</c:v>
                  </c:pt>
                  <c:pt idx="1">
                    <c:v>7205767.9176049847</c:v>
                  </c:pt>
                  <c:pt idx="2">
                    <c:v>6974132.3292539474</c:v>
                  </c:pt>
                  <c:pt idx="3">
                    <c:v>6979562.6776864463</c:v>
                  </c:pt>
                  <c:pt idx="4">
                    <c:v>7104479.5105559006</c:v>
                  </c:pt>
                  <c:pt idx="5">
                    <c:v>7040711.609167438</c:v>
                  </c:pt>
                  <c:pt idx="6">
                    <c:v>7180350.8052648464</c:v>
                  </c:pt>
                  <c:pt idx="7">
                    <c:v>7122786.1614164999</c:v>
                  </c:pt>
                  <c:pt idx="8">
                    <c:v>7045719.22766612</c:v>
                  </c:pt>
                  <c:pt idx="9">
                    <c:v>7182902.4580030339</c:v>
                  </c:pt>
                </c:numCache>
              </c:numRef>
            </c:plus>
            <c:minus>
              <c:numRef>
                <c:f>'Misura di c (3)'!$V$13:$V$22</c:f>
                <c:numCache>
                  <c:formatCode>General</c:formatCode>
                  <c:ptCount val="10"/>
                  <c:pt idx="0">
                    <c:v>7062974.7793081347</c:v>
                  </c:pt>
                  <c:pt idx="1">
                    <c:v>7205767.9176049847</c:v>
                  </c:pt>
                  <c:pt idx="2">
                    <c:v>6974132.3292539474</c:v>
                  </c:pt>
                  <c:pt idx="3">
                    <c:v>6979562.6776864463</c:v>
                  </c:pt>
                  <c:pt idx="4">
                    <c:v>7104479.5105559006</c:v>
                  </c:pt>
                  <c:pt idx="5">
                    <c:v>7040711.609167438</c:v>
                  </c:pt>
                  <c:pt idx="6">
                    <c:v>7180350.8052648464</c:v>
                  </c:pt>
                  <c:pt idx="7">
                    <c:v>7122786.1614164999</c:v>
                  </c:pt>
                  <c:pt idx="8">
                    <c:v>7045719.22766612</c:v>
                  </c:pt>
                  <c:pt idx="9">
                    <c:v>7182902.4580030339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(3)'!$W$13:$W$22</c:f>
              <c:numCache>
                <c:formatCode>General</c:formatCode>
                <c:ptCount val="10"/>
                <c:pt idx="0">
                  <c:v>294810390.82550448</c:v>
                </c:pt>
                <c:pt idx="1">
                  <c:v>300770613.28471857</c:v>
                </c:pt>
                <c:pt idx="2">
                  <c:v>291102084.02266806</c:v>
                </c:pt>
                <c:pt idx="3">
                  <c:v>291328748.16826212</c:v>
                </c:pt>
                <c:pt idx="4">
                  <c:v>296542809.02358556</c:v>
                </c:pt>
                <c:pt idx="5">
                  <c:v>293881120.35586876</c:v>
                </c:pt>
                <c:pt idx="6">
                  <c:v>299709696.453385</c:v>
                </c:pt>
                <c:pt idx="7">
                  <c:v>297306933.35696572</c:v>
                </c:pt>
                <c:pt idx="8">
                  <c:v>294090139.64488363</c:v>
                </c:pt>
                <c:pt idx="9">
                  <c:v>299816203.09746939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C-4E48-8D26-300160021CAE}"/>
            </c:ext>
          </c:extLst>
        </c:ser>
        <c:ser>
          <c:idx val="1"/>
          <c:order val="1"/>
          <c:tx>
            <c:v>Velocità teorica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'Misura di c (3)'!$U$13:$U$22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(3)'!$AH$12:$AH$22</c:f>
              <c:numCache>
                <c:formatCode>General</c:formatCode>
                <c:ptCount val="11"/>
                <c:pt idx="0">
                  <c:v>299711535.88531095</c:v>
                </c:pt>
                <c:pt idx="1">
                  <c:v>299711535.88531095</c:v>
                </c:pt>
                <c:pt idx="2">
                  <c:v>299711535.88531095</c:v>
                </c:pt>
                <c:pt idx="3">
                  <c:v>299711535.88531095</c:v>
                </c:pt>
                <c:pt idx="4">
                  <c:v>299711535.88531095</c:v>
                </c:pt>
                <c:pt idx="5">
                  <c:v>299711535.88531095</c:v>
                </c:pt>
                <c:pt idx="6">
                  <c:v>299711535.88531095</c:v>
                </c:pt>
                <c:pt idx="7">
                  <c:v>299711535.88531095</c:v>
                </c:pt>
                <c:pt idx="8">
                  <c:v>299711535.88531095</c:v>
                </c:pt>
                <c:pt idx="9">
                  <c:v>299711535.88531095</c:v>
                </c:pt>
                <c:pt idx="10">
                  <c:v>299711535.88531095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C-4E48-8D26-300160021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509480"/>
        <c:axId val="221508824"/>
      </c:scatterChart>
      <c:valAx>
        <c:axId val="22150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Indice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8824"/>
        <c:crosses val="autoZero"/>
        <c:crossBetween val="midCat"/>
      </c:valAx>
      <c:valAx>
        <c:axId val="22150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Velocità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21509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228117846126008"/>
          <c:y val="0.44433908630338104"/>
          <c:w val="0.10704709369076804"/>
          <c:h val="0.213571773437230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550324</xdr:colOff>
      <xdr:row>33</xdr:row>
      <xdr:rowOff>84843</xdr:rowOff>
    </xdr:from>
    <xdr:to>
      <xdr:col>32</xdr:col>
      <xdr:colOff>628650</xdr:colOff>
      <xdr:row>56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609535</xdr:colOff>
      <xdr:row>1</xdr:row>
      <xdr:rowOff>23532</xdr:rowOff>
    </xdr:from>
    <xdr:to>
      <xdr:col>46</xdr:col>
      <xdr:colOff>607440</xdr:colOff>
      <xdr:row>19</xdr:row>
      <xdr:rowOff>187215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2805D-7C9C-4664-BDB3-2CFE40DB9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173182</xdr:colOff>
      <xdr:row>34</xdr:row>
      <xdr:rowOff>100444</xdr:rowOff>
    </xdr:from>
    <xdr:to>
      <xdr:col>26</xdr:col>
      <xdr:colOff>198783</xdr:colOff>
      <xdr:row>54</xdr:row>
      <xdr:rowOff>140803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9F1D34-60DA-40A2-B882-122BDEEED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le4" displayName="Table4" ref="V26:AO54" totalsRowShown="0">
  <autoFilter ref="V26:AO54"/>
  <tableColumns count="20">
    <tableColumn id="1" name="Column1" dataDxfId="19"/>
    <tableColumn id="2" name="Column2" dataDxfId="18"/>
    <tableColumn id="3" name="Column3" dataDxfId="17"/>
    <tableColumn id="4" name="Column4" dataDxfId="16"/>
    <tableColumn id="5" name="Column5" dataDxfId="15"/>
    <tableColumn id="6" name="Column6" dataDxfId="14"/>
    <tableColumn id="7" name="Column7" dataDxfId="13"/>
    <tableColumn id="8" name="Column8" dataDxfId="12"/>
    <tableColumn id="9" name="Column9" dataDxfId="11"/>
    <tableColumn id="10" name="Column10" dataDxfId="10"/>
    <tableColumn id="11" name="Column11" dataDxfId="9"/>
    <tableColumn id="12" name="Column12" dataDxfId="8"/>
    <tableColumn id="13" name="Column13" dataDxfId="7"/>
    <tableColumn id="14" name="Column14" dataDxfId="6"/>
    <tableColumn id="15" name="Column15" dataDxfId="5"/>
    <tableColumn id="16" name="Column16" dataDxfId="4"/>
    <tableColumn id="17" name="Column17" dataDxfId="3"/>
    <tableColumn id="18" name="Column18" dataDxfId="2"/>
    <tableColumn id="19" name="Column19" dataDxfId="1"/>
    <tableColumn id="20" name="Column2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7" sqref="B37"/>
    </sheetView>
  </sheetViews>
  <sheetFormatPr defaultRowHeight="15" x14ac:dyDescent="0.25"/>
  <cols>
    <col min="1" max="1" width="12" bestFit="1" customWidth="1"/>
    <col min="2" max="6" width="11.7109375" bestFit="1" customWidth="1"/>
    <col min="8" max="9" width="11.5703125" bestFit="1" customWidth="1"/>
  </cols>
  <sheetData>
    <row r="1" spans="1:4" x14ac:dyDescent="0.25">
      <c r="A1" t="s">
        <v>21</v>
      </c>
    </row>
    <row r="2" spans="1:4" x14ac:dyDescent="0.25">
      <c r="B2" t="s">
        <v>26</v>
      </c>
      <c r="C2" t="s">
        <v>16</v>
      </c>
      <c r="D2" t="s">
        <v>28</v>
      </c>
    </row>
    <row r="3" spans="1:4" x14ac:dyDescent="0.25">
      <c r="A3" t="s">
        <v>22</v>
      </c>
      <c r="B3">
        <v>6.3</v>
      </c>
      <c r="C3" s="1">
        <v>0.03</v>
      </c>
      <c r="D3" s="1">
        <f>C3/B3</f>
        <v>4.7619047619047615E-3</v>
      </c>
    </row>
    <row r="4" spans="1:4" x14ac:dyDescent="0.25">
      <c r="A4" t="s">
        <v>23</v>
      </c>
      <c r="B4">
        <v>0.6</v>
      </c>
      <c r="C4" s="1">
        <v>0.03</v>
      </c>
      <c r="D4" s="1">
        <f t="shared" ref="D4:D8" si="0">C4/B4</f>
        <v>0.05</v>
      </c>
    </row>
    <row r="5" spans="1:4" x14ac:dyDescent="0.25">
      <c r="A5" t="s">
        <v>24</v>
      </c>
      <c r="B5">
        <v>6.53</v>
      </c>
      <c r="C5" s="1">
        <v>0.03</v>
      </c>
      <c r="D5" s="1">
        <f t="shared" si="0"/>
        <v>4.5941807044410409E-3</v>
      </c>
    </row>
    <row r="6" spans="1:4" x14ac:dyDescent="0.25">
      <c r="A6" t="s">
        <v>27</v>
      </c>
      <c r="B6">
        <f>(B5+B4+B3)</f>
        <v>13.43</v>
      </c>
      <c r="C6" s="1">
        <f>SQRT(3)*2*(C5+C4+C3)</f>
        <v>0.31176914536239786</v>
      </c>
      <c r="D6" s="1">
        <f t="shared" si="0"/>
        <v>2.3214381635323744E-2</v>
      </c>
    </row>
    <row r="7" spans="1:4" x14ac:dyDescent="0.25">
      <c r="A7" t="s">
        <v>3</v>
      </c>
      <c r="B7" s="1">
        <f>B15-B16</f>
        <v>0.48499999999999999</v>
      </c>
      <c r="C7" s="1">
        <f>C15+C16</f>
        <v>6.0000000000000001E-3</v>
      </c>
      <c r="D7" s="1">
        <f t="shared" si="0"/>
        <v>1.2371134020618558E-2</v>
      </c>
    </row>
    <row r="8" spans="1:4" x14ac:dyDescent="0.25">
      <c r="A8" t="s">
        <v>25</v>
      </c>
      <c r="B8" s="1">
        <f>B13</f>
        <v>0.252</v>
      </c>
      <c r="C8">
        <f>0.001</f>
        <v>1E-3</v>
      </c>
      <c r="D8" s="1">
        <f t="shared" si="0"/>
        <v>3.968253968253968E-3</v>
      </c>
    </row>
    <row r="10" spans="1:4" x14ac:dyDescent="0.25">
      <c r="A10" t="s">
        <v>29</v>
      </c>
    </row>
    <row r="12" spans="1:4" x14ac:dyDescent="0.25">
      <c r="A12" t="s">
        <v>30</v>
      </c>
      <c r="B12" s="1">
        <v>4.8000000000000001E-2</v>
      </c>
    </row>
    <row r="13" spans="1:4" x14ac:dyDescent="0.25">
      <c r="A13" t="s">
        <v>31</v>
      </c>
      <c r="B13" s="1">
        <v>0.252</v>
      </c>
    </row>
    <row r="15" spans="1:4" x14ac:dyDescent="0.25">
      <c r="A15" t="s">
        <v>34</v>
      </c>
      <c r="B15" s="1">
        <v>0.872</v>
      </c>
      <c r="C15" s="1">
        <v>5.0000000000000001E-3</v>
      </c>
    </row>
    <row r="16" spans="1:4" x14ac:dyDescent="0.25">
      <c r="A16" t="s">
        <v>35</v>
      </c>
      <c r="B16" s="1">
        <v>0.38700000000000001</v>
      </c>
      <c r="C16" s="1">
        <v>1E-3</v>
      </c>
    </row>
    <row r="18" spans="1:10" x14ac:dyDescent="0.25">
      <c r="A18" t="s">
        <v>73</v>
      </c>
      <c r="B18">
        <f>299792458/1.000276</f>
        <v>299709738.11228102</v>
      </c>
    </row>
    <row r="19" spans="1:10" x14ac:dyDescent="0.25">
      <c r="D19" t="str">
        <f t="array" ref="D19:F21">TRANSPOSE(A22:C24)</f>
        <v>C 1</v>
      </c>
      <c r="E19" t="str">
        <v>C 2</v>
      </c>
      <c r="F19" t="str">
        <v>C 3</v>
      </c>
    </row>
    <row r="20" spans="1:10" x14ac:dyDescent="0.25">
      <c r="B20" t="s">
        <v>65</v>
      </c>
      <c r="D20">
        <v>2663158.5332805468</v>
      </c>
      <c r="E20">
        <v>6554276.0437071687</v>
      </c>
      <c r="F20">
        <v>2495874.9336498161</v>
      </c>
    </row>
    <row r="21" spans="1:10" x14ac:dyDescent="0.25">
      <c r="C21" t="s">
        <v>70</v>
      </c>
      <c r="D21">
        <v>295426058.46105742</v>
      </c>
      <c r="E21">
        <v>305539532.36232483</v>
      </c>
      <c r="F21">
        <v>295862608.34069848</v>
      </c>
    </row>
    <row r="22" spans="1:10" x14ac:dyDescent="0.25">
      <c r="A22" t="s">
        <v>67</v>
      </c>
      <c r="B22">
        <f>'Misura di c'!G63</f>
        <v>2663158.5332805468</v>
      </c>
      <c r="C22">
        <f>'Misura di c'!B63</f>
        <v>295426058.46105742</v>
      </c>
      <c r="D22">
        <f>(D$21-$C22)/SQRT(D$20^2+$B22^2)</f>
        <v>0</v>
      </c>
      <c r="E22">
        <f t="shared" ref="E22:F22" si="1">(E$21-$C22)/SQRT(E$20^2+$B22^2)</f>
        <v>1.4295330647412814</v>
      </c>
      <c r="F22">
        <f t="shared" si="1"/>
        <v>0.11960582629382467</v>
      </c>
    </row>
    <row r="23" spans="1:10" x14ac:dyDescent="0.25">
      <c r="A23" t="s">
        <v>68</v>
      </c>
      <c r="B23">
        <f>'Misura di c (2)'!F41</f>
        <v>6554276.0437071687</v>
      </c>
      <c r="C23">
        <f>'Misura di c (2)'!A41</f>
        <v>305539532.36232483</v>
      </c>
      <c r="D23">
        <f t="shared" ref="D23:F24" si="2">(D$21-$C23)/SQRT(D$20^2+$B23^2)</f>
        <v>-1.4295330647412814</v>
      </c>
      <c r="E23">
        <f t="shared" si="2"/>
        <v>0</v>
      </c>
      <c r="F23">
        <f t="shared" si="2"/>
        <v>-1.3797743751746323</v>
      </c>
    </row>
    <row r="24" spans="1:10" x14ac:dyDescent="0.25">
      <c r="A24" t="s">
        <v>69</v>
      </c>
      <c r="B24">
        <f>'Misura di c (3)'!G43</f>
        <v>2495874.9336498161</v>
      </c>
      <c r="C24">
        <f>'Misura di c (3)'!B43</f>
        <v>295862608.34069848</v>
      </c>
      <c r="D24">
        <f t="shared" si="2"/>
        <v>-0.11960582629382467</v>
      </c>
      <c r="E24">
        <f t="shared" si="2"/>
        <v>1.3797743751746323</v>
      </c>
      <c r="F24">
        <f t="shared" si="2"/>
        <v>0</v>
      </c>
    </row>
    <row r="26" spans="1:10" x14ac:dyDescent="0.25">
      <c r="A26" t="s">
        <v>45</v>
      </c>
      <c r="B26" t="s">
        <v>57</v>
      </c>
      <c r="C26" t="s">
        <v>40</v>
      </c>
      <c r="D26" t="s">
        <v>58</v>
      </c>
    </row>
    <row r="27" spans="1:10" x14ac:dyDescent="0.25">
      <c r="A27">
        <f>C22</f>
        <v>295426058.46105742</v>
      </c>
      <c r="B27">
        <f>B22</f>
        <v>2663158.5332805468</v>
      </c>
      <c r="C27">
        <f>B27^-2</f>
        <v>1.409957298530571E-13</v>
      </c>
      <c r="D27">
        <f>C27*A27</f>
        <v>4.1653812730328704E-5</v>
      </c>
      <c r="H27" t="s">
        <v>59</v>
      </c>
      <c r="I27" t="s">
        <v>71</v>
      </c>
      <c r="J27" t="s">
        <v>72</v>
      </c>
    </row>
    <row r="28" spans="1:10" x14ac:dyDescent="0.25">
      <c r="A28">
        <f t="shared" ref="A28:A29" si="3">C23</f>
        <v>305539532.36232483</v>
      </c>
      <c r="B28">
        <f t="shared" ref="B28" si="4">B23</f>
        <v>6554276.0437071687</v>
      </c>
      <c r="C28">
        <f t="shared" ref="C28:C29" si="5">B28^-2</f>
        <v>2.3278261529110558E-14</v>
      </c>
      <c r="D28">
        <f t="shared" ref="D28:D29" si="6">C28*A28</f>
        <v>7.1124291418123364E-6</v>
      </c>
      <c r="H28">
        <f>D30/C30</f>
        <v>296366637.37746567</v>
      </c>
      <c r="I28">
        <f>C30^-0.5</f>
        <v>1754647.0762626447</v>
      </c>
      <c r="J28">
        <f>I28/H28</f>
        <v>5.9205283421556272E-3</v>
      </c>
    </row>
    <row r="29" spans="1:10" x14ac:dyDescent="0.25">
      <c r="A29">
        <f t="shared" si="3"/>
        <v>295862608.34069848</v>
      </c>
      <c r="B29">
        <f>B24</f>
        <v>2495874.9336498161</v>
      </c>
      <c r="C29">
        <f t="shared" si="5"/>
        <v>1.6052931821590384E-13</v>
      </c>
      <c r="D29">
        <f t="shared" si="6"/>
        <v>4.7494622802511314E-5</v>
      </c>
    </row>
    <row r="30" spans="1:10" x14ac:dyDescent="0.25">
      <c r="C30">
        <f>SUM(C27:C29)</f>
        <v>3.2480330959807147E-13</v>
      </c>
      <c r="D30">
        <f>SUM(D27:D29)</f>
        <v>9.6260864674652357E-5</v>
      </c>
      <c r="H30" t="s">
        <v>37</v>
      </c>
    </row>
    <row r="31" spans="1:10" x14ac:dyDescent="0.25">
      <c r="H31">
        <f>ABS(H28-B18)/I28</f>
        <v>1.9052838488387545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6"/>
  <sheetViews>
    <sheetView tabSelected="1" topLeftCell="P7" zoomScale="130" zoomScaleNormal="130" workbookViewId="0">
      <selection activeCell="V13" sqref="V13"/>
    </sheetView>
  </sheetViews>
  <sheetFormatPr defaultRowHeight="15" x14ac:dyDescent="0.25"/>
  <cols>
    <col min="1" max="1" width="12" bestFit="1" customWidth="1"/>
    <col min="2" max="2" width="19" bestFit="1" customWidth="1"/>
    <col min="3" max="3" width="13.7109375" bestFit="1" customWidth="1"/>
    <col min="4" max="5" width="13.5703125" customWidth="1"/>
    <col min="6" max="6" width="12.7109375" bestFit="1" customWidth="1"/>
    <col min="7" max="8" width="9.28515625" bestFit="1" customWidth="1"/>
    <col min="9" max="9" width="11.42578125" bestFit="1" customWidth="1"/>
    <col min="11" max="13" width="12" bestFit="1" customWidth="1"/>
    <col min="14" max="14" width="14.42578125" bestFit="1" customWidth="1"/>
    <col min="15" max="15" width="12.42578125" bestFit="1" customWidth="1"/>
    <col min="16" max="16" width="12" bestFit="1" customWidth="1"/>
    <col min="17" max="17" width="12.28515625" customWidth="1"/>
    <col min="18" max="18" width="16" bestFit="1" customWidth="1"/>
    <col min="19" max="19" width="15.5703125" customWidth="1"/>
    <col min="21" max="21" width="9.42578125" bestFit="1" customWidth="1"/>
    <col min="22" max="22" width="11.5703125" customWidth="1"/>
    <col min="23" max="23" width="10.28515625" bestFit="1" customWidth="1"/>
    <col min="24" max="42" width="12.28515625" bestFit="1" customWidth="1"/>
    <col min="43" max="43" width="12" bestFit="1" customWidth="1"/>
    <col min="44" max="46" width="9.140625" bestFit="1" customWidth="1"/>
    <col min="47" max="48" width="9.140625" customWidth="1"/>
    <col min="49" max="53" width="9.140625" bestFit="1" customWidth="1"/>
  </cols>
  <sheetData>
    <row r="1" spans="1:43" x14ac:dyDescent="0.25">
      <c r="A1" t="s">
        <v>0</v>
      </c>
      <c r="C1" t="s">
        <v>17</v>
      </c>
      <c r="E1" t="s">
        <v>38</v>
      </c>
    </row>
    <row r="2" spans="1:43" x14ac:dyDescent="0.25">
      <c r="A2" t="s">
        <v>1</v>
      </c>
      <c r="B2" s="1">
        <f>Sheet1!B8</f>
        <v>0.252</v>
      </c>
      <c r="C2" s="1">
        <f>Sheet1!C8</f>
        <v>1E-3</v>
      </c>
      <c r="E2" s="1"/>
    </row>
    <row r="3" spans="1:43" x14ac:dyDescent="0.2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43" x14ac:dyDescent="0.2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43" x14ac:dyDescent="0.25">
      <c r="A5" t="s">
        <v>4</v>
      </c>
      <c r="B5" s="1">
        <f>B4+B3</f>
        <v>13.914999999999999</v>
      </c>
      <c r="C5">
        <f>SQRT(C4^2+C3^2)</f>
        <v>0.31182687504447071</v>
      </c>
    </row>
    <row r="6" spans="1:43" x14ac:dyDescent="0.25">
      <c r="A6" t="s">
        <v>5</v>
      </c>
      <c r="B6" s="1">
        <f>B3^2</f>
        <v>180.36490000000001</v>
      </c>
      <c r="C6" s="1">
        <f>2*B3*C3</f>
        <v>8.3741192444340058</v>
      </c>
    </row>
    <row r="7" spans="1:43" x14ac:dyDescent="0.25">
      <c r="A7" t="s">
        <v>10</v>
      </c>
      <c r="B7">
        <v>0</v>
      </c>
    </row>
    <row r="8" spans="1:43" x14ac:dyDescent="0.25">
      <c r="A8" t="s">
        <v>11</v>
      </c>
      <c r="B8">
        <v>0</v>
      </c>
      <c r="AE8" s="1"/>
    </row>
    <row r="9" spans="1:43" x14ac:dyDescent="0.25">
      <c r="A9" t="s">
        <v>12</v>
      </c>
      <c r="B9" s="1">
        <f>0.00001*SQRT(2)</f>
        <v>1.4142135623730953E-5</v>
      </c>
      <c r="C9" s="1"/>
      <c r="E9" s="1"/>
    </row>
    <row r="10" spans="1:43" ht="15.75" thickBot="1" x14ac:dyDescent="0.3">
      <c r="A10" t="s">
        <v>0</v>
      </c>
      <c r="B10" s="31">
        <v>299792458</v>
      </c>
      <c r="V10" s="21"/>
      <c r="W10" s="21" t="s">
        <v>20</v>
      </c>
      <c r="X10" s="21">
        <f t="array" ref="X10:AP12">TRANSPOSE(U13:W31)</f>
        <v>1</v>
      </c>
      <c r="Y10" s="21">
        <v>2</v>
      </c>
      <c r="Z10" s="21">
        <v>3</v>
      </c>
      <c r="AA10" s="21">
        <v>4</v>
      </c>
      <c r="AB10" s="21">
        <v>5</v>
      </c>
      <c r="AC10" s="21">
        <v>6</v>
      </c>
      <c r="AD10" s="21">
        <v>7</v>
      </c>
      <c r="AE10" s="21">
        <v>8</v>
      </c>
      <c r="AF10" s="21">
        <v>9</v>
      </c>
      <c r="AG10" s="21">
        <v>10</v>
      </c>
      <c r="AH10" s="21">
        <v>11</v>
      </c>
      <c r="AI10" s="21">
        <v>12</v>
      </c>
      <c r="AJ10" s="21">
        <v>13</v>
      </c>
      <c r="AK10" s="21">
        <v>14</v>
      </c>
      <c r="AL10" s="21">
        <v>15</v>
      </c>
      <c r="AM10" s="21">
        <v>16</v>
      </c>
      <c r="AN10" s="21">
        <v>17</v>
      </c>
      <c r="AO10" s="21">
        <v>18</v>
      </c>
      <c r="AP10" s="21">
        <v>19</v>
      </c>
    </row>
    <row r="11" spans="1:43" x14ac:dyDescent="0.25">
      <c r="I11" t="s">
        <v>14</v>
      </c>
      <c r="U11" s="7"/>
      <c r="V11" s="23" t="s">
        <v>18</v>
      </c>
      <c r="W11" s="24"/>
      <c r="X11" s="32">
        <v>12135867.314643776</v>
      </c>
      <c r="Y11" s="32">
        <v>11923104.335838627</v>
      </c>
      <c r="Z11" s="32">
        <v>11509465.705900948</v>
      </c>
      <c r="AA11" s="32">
        <v>11917686.563268071</v>
      </c>
      <c r="AB11" s="32">
        <v>11799492.486923832</v>
      </c>
      <c r="AC11" s="32">
        <v>11553582.53513561</v>
      </c>
      <c r="AD11" s="32">
        <v>11754559.347690133</v>
      </c>
      <c r="AE11" s="32">
        <v>11521876.436601106</v>
      </c>
      <c r="AF11" s="32">
        <v>11799734.702880995</v>
      </c>
      <c r="AG11" s="32">
        <v>11511224.214609219</v>
      </c>
      <c r="AH11" s="32">
        <v>11650651.725076219</v>
      </c>
      <c r="AI11" s="32">
        <v>11587409.442439195</v>
      </c>
      <c r="AJ11" s="32">
        <v>11869401.803500693</v>
      </c>
      <c r="AK11" s="32">
        <v>11835105.980329342</v>
      </c>
      <c r="AL11" s="32">
        <v>11761144.772969939</v>
      </c>
      <c r="AM11" s="32">
        <v>11738123.314245939</v>
      </c>
      <c r="AN11" s="32">
        <v>11685451.078105323</v>
      </c>
      <c r="AO11" s="32">
        <v>11733200.191479869</v>
      </c>
      <c r="AP11" s="32">
        <v>11594107.523879871</v>
      </c>
    </row>
    <row r="12" spans="1:43" ht="15.75" thickBot="1" x14ac:dyDescent="0.3">
      <c r="B12" t="s">
        <v>74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55</v>
      </c>
      <c r="Q12" t="s">
        <v>16</v>
      </c>
      <c r="R12" t="s">
        <v>36</v>
      </c>
      <c r="S12" t="s">
        <v>37</v>
      </c>
      <c r="U12" s="20" t="s">
        <v>20</v>
      </c>
      <c r="V12" s="22"/>
      <c r="W12" s="4" t="s">
        <v>19</v>
      </c>
      <c r="X12" s="34">
        <v>309712059.55000132</v>
      </c>
      <c r="Y12" s="34">
        <v>281130943.72591871</v>
      </c>
      <c r="Z12" s="34">
        <v>309348547.74302012</v>
      </c>
      <c r="AA12" s="34">
        <v>301351287.98938149</v>
      </c>
      <c r="AB12" s="34">
        <v>284266233.06115103</v>
      </c>
      <c r="AC12" s="34">
        <v>298276174.59516788</v>
      </c>
      <c r="AD12" s="34">
        <v>282015256.10252202</v>
      </c>
      <c r="AE12" s="34">
        <v>301367811.25333238</v>
      </c>
      <c r="AF12" s="34">
        <v>281256355.29932851</v>
      </c>
      <c r="AG12" s="34">
        <v>291086862.49218649</v>
      </c>
      <c r="AH12" s="34">
        <v>286655024.935615</v>
      </c>
      <c r="AI12" s="34">
        <v>306097136.58055419</v>
      </c>
      <c r="AJ12" s="34">
        <v>303774700.03593844</v>
      </c>
      <c r="AK12" s="34">
        <v>298728108.19303924</v>
      </c>
      <c r="AL12" s="34">
        <v>297146340.60049045</v>
      </c>
      <c r="AM12" s="34">
        <v>293507085.83868241</v>
      </c>
      <c r="AN12" s="34">
        <v>296807390.40208662</v>
      </c>
      <c r="AO12" s="34">
        <v>287126497.01610231</v>
      </c>
      <c r="AP12" s="34">
        <v>290646821.88373274</v>
      </c>
      <c r="AQ12" t="s">
        <v>45</v>
      </c>
    </row>
    <row r="13" spans="1:43" ht="15.75" thickTop="1" x14ac:dyDescent="0.25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 s="31">
        <f>2*PI()*B13</f>
        <v>383.27430373795477</v>
      </c>
      <c r="H13" s="31">
        <f>2*PI()*C13</f>
        <v>5736.5481854549625</v>
      </c>
      <c r="K13">
        <f>((4*$B$3*(2*$B$4+$B$3-2*$B$2)*$B$2*(H13-G13))/(($B$5-$B$2)^2*F13)*$C$3)^2</f>
        <v>58442428828279.023</v>
      </c>
      <c r="L13">
        <f>((4*$B$6*$B$2*(G13-H13)/(($B$5-$B$2)^2*F13))*$C$4)^2</f>
        <v>20217940165.488598</v>
      </c>
      <c r="M13">
        <f>((4*$B$6*$B$5*(H13-G13)/(($B$5-$B$2)^2*F13))*$C$2)^2</f>
        <v>1712378419495.7085</v>
      </c>
      <c r="O13" s="31">
        <f>4*$B$2*$B$6*ABS(H13-G13)/(($B$5-$B$2)*F13)</f>
        <v>323789880.43863964</v>
      </c>
      <c r="P13">
        <f>SQRT(K13+L13+M13)</f>
        <v>7757256.2925263867</v>
      </c>
      <c r="Q13" s="31">
        <f>SQRT(P13^2+$O$37^2)</f>
        <v>12135867.314643776</v>
      </c>
      <c r="R13" s="2">
        <f>Q13/O13</f>
        <v>3.7480687469921115E-2</v>
      </c>
      <c r="S13" s="2">
        <f>(O13-$B$10)/P13</f>
        <v>3.0935451316414029</v>
      </c>
      <c r="U13" s="20">
        <v>1</v>
      </c>
      <c r="V13" s="35">
        <f>Q13</f>
        <v>12135867.314643776</v>
      </c>
      <c r="W13" s="35">
        <f t="shared" ref="W13:W31" si="0">O14</f>
        <v>309712059.55000132</v>
      </c>
      <c r="X13" s="25">
        <f t="shared" ref="X13:AG22" si="1">ABS(($W13-X$12)/SQRT($V13^2+X$11^2))</f>
        <v>0</v>
      </c>
      <c r="Y13" s="26">
        <f t="shared" si="1"/>
        <v>1.679964621018768</v>
      </c>
      <c r="Z13" s="26">
        <f t="shared" si="1"/>
        <v>2.1733803854776308E-2</v>
      </c>
      <c r="AA13" s="26">
        <f t="shared" si="1"/>
        <v>0.4915460812710884</v>
      </c>
      <c r="AB13" s="26">
        <f t="shared" si="1"/>
        <v>1.5033105894491572</v>
      </c>
      <c r="AC13" s="26">
        <f t="shared" si="1"/>
        <v>0.68249369828474349</v>
      </c>
      <c r="AD13" s="26">
        <f t="shared" si="1"/>
        <v>1.6393263928614175</v>
      </c>
      <c r="AE13" s="26">
        <f t="shared" si="1"/>
        <v>0.49863490966546525</v>
      </c>
      <c r="AF13" s="26">
        <f t="shared" si="1"/>
        <v>1.6811139864396913</v>
      </c>
      <c r="AG13" s="26">
        <f t="shared" si="1"/>
        <v>1.1134909129708639</v>
      </c>
      <c r="AH13" s="26">
        <f t="shared" ref="AH13:AP22" si="2">ABS(($W13-AH$12)/SQRT($V13^2+AH$11^2))</f>
        <v>1.3705573716165684</v>
      </c>
      <c r="AI13" s="26">
        <f t="shared" si="2"/>
        <v>0.21543851079980614</v>
      </c>
      <c r="AJ13" s="26">
        <f t="shared" si="2"/>
        <v>0.34976392267562206</v>
      </c>
      <c r="AK13" s="26">
        <f t="shared" si="2"/>
        <v>0.64796828401239914</v>
      </c>
      <c r="AL13" s="26">
        <f t="shared" si="2"/>
        <v>0.7435417336614889</v>
      </c>
      <c r="AM13" s="26">
        <f t="shared" si="2"/>
        <v>0.95979403502052718</v>
      </c>
      <c r="AN13" s="26">
        <f t="shared" si="2"/>
        <v>0.76598181372720442</v>
      </c>
      <c r="AO13" s="26">
        <f t="shared" si="2"/>
        <v>1.3379770606744144</v>
      </c>
      <c r="AP13" s="26">
        <f t="shared" si="2"/>
        <v>1.1359175047902601</v>
      </c>
      <c r="AQ13" s="3">
        <f>$B$10</f>
        <v>299792458</v>
      </c>
    </row>
    <row r="14" spans="1:43" x14ac:dyDescent="0.25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3">ABS(E14-D14)</f>
        <v>2.3000000000000104E-4</v>
      </c>
      <c r="G14" s="31">
        <f t="shared" ref="G14:G21" si="4">2*PI()*B14</f>
        <v>515.22119518872603</v>
      </c>
      <c r="H14" s="31">
        <f t="shared" ref="H14:H21" si="5">2*PI()*C14</f>
        <v>5868.4950769057332</v>
      </c>
      <c r="K14">
        <f t="shared" ref="K14:K21" si="6">((4*$B$3*(2*$B$4+$B$3-2*$B$2)*$B$2*(H14-G14))/(($B$5-$B$2)^2*F14)*$C$3)^2</f>
        <v>53470955676534.445</v>
      </c>
      <c r="L14">
        <f t="shared" ref="L14:L21" si="7">((4*$B$6*$B$2*(G14-H14)/(($B$5-$B$2)^2*F14))*$C$4)^2</f>
        <v>18498077580.522442</v>
      </c>
      <c r="M14">
        <f t="shared" ref="M14:M21" si="8">((4*$B$6*$B$5*(H14-G14)/(($B$5-$B$2)^2*F14))*$C$2)^2</f>
        <v>1566712958479.9873</v>
      </c>
      <c r="O14" s="31">
        <f t="shared" ref="O14:O21" si="9">4*$B$2*$B$6*ABS(H14-G14)/(($B$5-$B$2)*F14)</f>
        <v>309712059.55000132</v>
      </c>
      <c r="P14">
        <f t="shared" ref="P14:P21" si="10">SQRT(K14+L14+M14)</f>
        <v>7419984.2798078051</v>
      </c>
      <c r="Q14" s="31">
        <f t="shared" ref="Q14:Q32" si="11">SQRT(P14^2+$O$37^2)</f>
        <v>11923104.335838627</v>
      </c>
      <c r="R14" s="2">
        <f t="shared" ref="R14:R32" si="12">Q14/O14</f>
        <v>3.8497384806915169E-2</v>
      </c>
      <c r="S14" s="2">
        <f>(O14-$B$10)/P14</f>
        <v>1.3368763565976536</v>
      </c>
      <c r="U14" s="20">
        <v>2</v>
      </c>
      <c r="V14" s="35">
        <f t="shared" ref="V14:V31" si="13">Q14</f>
        <v>11923104.335838627</v>
      </c>
      <c r="W14" s="35">
        <f t="shared" si="0"/>
        <v>281130943.72591871</v>
      </c>
      <c r="X14" s="27">
        <f t="shared" si="1"/>
        <v>1.679964621018768</v>
      </c>
      <c r="Y14" s="28">
        <f t="shared" si="1"/>
        <v>0</v>
      </c>
      <c r="Z14" s="28">
        <f t="shared" si="1"/>
        <v>1.7027369298109192</v>
      </c>
      <c r="AA14" s="28">
        <f t="shared" si="1"/>
        <v>1.199452001231387</v>
      </c>
      <c r="AB14" s="28">
        <f t="shared" si="1"/>
        <v>0.18690654060704073</v>
      </c>
      <c r="AC14" s="28">
        <f t="shared" si="1"/>
        <v>1.0326846870086603</v>
      </c>
      <c r="AD14" s="28">
        <f t="shared" si="1"/>
        <v>5.2816649900239362E-2</v>
      </c>
      <c r="AE14" s="28">
        <f t="shared" si="1"/>
        <v>1.2205197684625306</v>
      </c>
      <c r="AF14" s="28">
        <f t="shared" si="1"/>
        <v>7.4761856892833489E-3</v>
      </c>
      <c r="AG14" s="28">
        <f t="shared" si="1"/>
        <v>0.60072645565215899</v>
      </c>
      <c r="AH14" s="28">
        <f t="shared" si="2"/>
        <v>0.3313731099999751</v>
      </c>
      <c r="AI14" s="28">
        <f t="shared" si="2"/>
        <v>1.5016230715941898</v>
      </c>
      <c r="AJ14" s="28">
        <f t="shared" si="2"/>
        <v>1.3459290718341157</v>
      </c>
      <c r="AK14" s="28">
        <f t="shared" si="2"/>
        <v>1.0474685430032624</v>
      </c>
      <c r="AL14" s="28">
        <f t="shared" si="2"/>
        <v>0.95627527896353837</v>
      </c>
      <c r="AM14" s="28">
        <f t="shared" si="2"/>
        <v>0.73968998721434709</v>
      </c>
      <c r="AN14" s="28">
        <f t="shared" si="2"/>
        <v>0.93901214763843077</v>
      </c>
      <c r="AO14" s="28">
        <f t="shared" si="2"/>
        <v>0.35841268338746607</v>
      </c>
      <c r="AP14" s="28">
        <f t="shared" si="2"/>
        <v>0.57218378369226219</v>
      </c>
      <c r="AQ14" s="3">
        <f t="shared" ref="AQ14:AQ31" si="14">$B$10</f>
        <v>299792458</v>
      </c>
    </row>
    <row r="15" spans="1:43" x14ac:dyDescent="0.25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3"/>
        <v>2.4000000000000063E-4</v>
      </c>
      <c r="G15" s="31">
        <f t="shared" si="4"/>
        <v>691.15038378975453</v>
      </c>
      <c r="H15" s="31">
        <f t="shared" si="5"/>
        <v>5761.6809266836808</v>
      </c>
      <c r="K15">
        <f t="shared" si="6"/>
        <v>44057415278536.391</v>
      </c>
      <c r="L15">
        <f t="shared" si="7"/>
        <v>15241498408.028471</v>
      </c>
      <c r="M15">
        <f t="shared" si="8"/>
        <v>1290893767666.634</v>
      </c>
      <c r="O15" s="31">
        <f t="shared" si="9"/>
        <v>281130943.72591871</v>
      </c>
      <c r="P15">
        <f t="shared" si="10"/>
        <v>6735246.8807469159</v>
      </c>
      <c r="Q15" s="31">
        <f t="shared" si="11"/>
        <v>11509465.705900948</v>
      </c>
      <c r="R15" s="2">
        <f t="shared" si="12"/>
        <v>4.0939875039589388E-2</v>
      </c>
      <c r="S15" s="2">
        <f>(O15-$B$10)/P15</f>
        <v>-2.7707246080951067</v>
      </c>
      <c r="U15" s="20">
        <v>3</v>
      </c>
      <c r="V15" s="33">
        <f t="shared" si="13"/>
        <v>11509465.705900948</v>
      </c>
      <c r="W15" s="35">
        <f t="shared" si="0"/>
        <v>309348547.74302012</v>
      </c>
      <c r="X15" s="29">
        <f t="shared" si="1"/>
        <v>2.1733803854776308E-2</v>
      </c>
      <c r="Y15" s="30">
        <f t="shared" si="1"/>
        <v>1.7027369298109192</v>
      </c>
      <c r="Z15" s="30">
        <f t="shared" si="1"/>
        <v>0</v>
      </c>
      <c r="AA15" s="30">
        <f t="shared" si="1"/>
        <v>0.48269275059911376</v>
      </c>
      <c r="AB15" s="30">
        <f t="shared" si="1"/>
        <v>1.5216898041712552</v>
      </c>
      <c r="AC15" s="30">
        <f t="shared" si="1"/>
        <v>0.67895065133373833</v>
      </c>
      <c r="AD15" s="30">
        <f t="shared" si="1"/>
        <v>1.6614909335077928</v>
      </c>
      <c r="AE15" s="30">
        <f t="shared" si="1"/>
        <v>0.49004804292200477</v>
      </c>
      <c r="AF15" s="30">
        <f t="shared" si="1"/>
        <v>1.7042746529593882</v>
      </c>
      <c r="AG15" s="30">
        <f t="shared" si="1"/>
        <v>1.1218570324062718</v>
      </c>
      <c r="AH15" s="30">
        <f t="shared" si="2"/>
        <v>1.3856964029474172</v>
      </c>
      <c r="AI15" s="30">
        <f t="shared" si="2"/>
        <v>0.19908163121182373</v>
      </c>
      <c r="AJ15" s="30">
        <f t="shared" si="2"/>
        <v>0.33712826235060678</v>
      </c>
      <c r="AK15" s="30">
        <f t="shared" si="2"/>
        <v>0.64332337256871164</v>
      </c>
      <c r="AL15" s="30">
        <f t="shared" si="2"/>
        <v>0.74151546984297667</v>
      </c>
      <c r="AM15" s="30">
        <f t="shared" si="2"/>
        <v>0.96363225732453994</v>
      </c>
      <c r="AN15" s="30">
        <f t="shared" si="2"/>
        <v>0.76462289100693703</v>
      </c>
      <c r="AO15" s="30">
        <f t="shared" si="2"/>
        <v>1.352050997756999</v>
      </c>
      <c r="AP15" s="30">
        <f t="shared" si="2"/>
        <v>1.1447604488235981</v>
      </c>
      <c r="AQ15" s="3">
        <f t="shared" si="14"/>
        <v>299792458</v>
      </c>
    </row>
    <row r="16" spans="1:43" x14ac:dyDescent="0.25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3"/>
        <v>2.299999999999993E-4</v>
      </c>
      <c r="G16" s="31">
        <f t="shared" si="4"/>
        <v>678.58401317539528</v>
      </c>
      <c r="H16" s="31">
        <f t="shared" si="5"/>
        <v>6025.574709585223</v>
      </c>
      <c r="K16">
        <f t="shared" si="6"/>
        <v>53345510662432.633</v>
      </c>
      <c r="L16">
        <f t="shared" si="7"/>
        <v>18454680346.012875</v>
      </c>
      <c r="M16">
        <f t="shared" si="8"/>
        <v>1563037386822.7512</v>
      </c>
      <c r="O16" s="31">
        <f t="shared" si="9"/>
        <v>309348547.74302012</v>
      </c>
      <c r="P16">
        <f t="shared" si="10"/>
        <v>7411275.3780709971</v>
      </c>
      <c r="Q16" s="31">
        <f t="shared" si="11"/>
        <v>11917686.563268071</v>
      </c>
      <c r="R16" s="2">
        <f>Q16/O16</f>
        <v>3.8525109137309575E-2</v>
      </c>
      <c r="S16" s="2">
        <f t="shared" ref="S16:S23" si="15">(O16-$B$10)/P16</f>
        <v>1.2893988221373271</v>
      </c>
      <c r="U16" s="20">
        <v>4</v>
      </c>
      <c r="V16" s="33">
        <f t="shared" si="13"/>
        <v>11917686.563268071</v>
      </c>
      <c r="W16" s="35">
        <f t="shared" si="0"/>
        <v>301351287.98938149</v>
      </c>
      <c r="X16" s="27">
        <f t="shared" si="1"/>
        <v>0.4915460812710884</v>
      </c>
      <c r="Y16" s="28">
        <f t="shared" si="1"/>
        <v>1.199452001231387</v>
      </c>
      <c r="Z16" s="28">
        <f t="shared" si="1"/>
        <v>0.48269275059911376</v>
      </c>
      <c r="AA16" s="28">
        <f t="shared" si="1"/>
        <v>0</v>
      </c>
      <c r="AB16" s="28">
        <f t="shared" si="1"/>
        <v>1.0187390463438959</v>
      </c>
      <c r="AC16" s="28">
        <f t="shared" si="1"/>
        <v>0.18526241066839558</v>
      </c>
      <c r="AD16" s="28">
        <f t="shared" si="1"/>
        <v>1.1551345567907054</v>
      </c>
      <c r="AE16" s="28">
        <f t="shared" si="1"/>
        <v>9.9678023285792701E-4</v>
      </c>
      <c r="AF16" s="28">
        <f t="shared" si="1"/>
        <v>1.1981983452962452</v>
      </c>
      <c r="AG16" s="28">
        <f t="shared" si="1"/>
        <v>0.61948700297431192</v>
      </c>
      <c r="AH16" s="28">
        <f t="shared" si="2"/>
        <v>0.88178981300964354</v>
      </c>
      <c r="AI16" s="28">
        <f t="shared" si="2"/>
        <v>0.28551174473062613</v>
      </c>
      <c r="AJ16" s="28">
        <f t="shared" si="2"/>
        <v>0.14407879896452738</v>
      </c>
      <c r="AK16" s="28">
        <f t="shared" si="2"/>
        <v>0.15618012146228838</v>
      </c>
      <c r="AL16" s="28">
        <f t="shared" si="2"/>
        <v>0.25113417100093671</v>
      </c>
      <c r="AM16" s="28">
        <f t="shared" si="2"/>
        <v>0.4689358575699577</v>
      </c>
      <c r="AN16" s="28">
        <f t="shared" si="2"/>
        <v>0.27224052426744239</v>
      </c>
      <c r="AO16" s="28">
        <f t="shared" si="2"/>
        <v>0.85055078628828007</v>
      </c>
      <c r="AP16" s="28">
        <f t="shared" si="2"/>
        <v>0.643803176183257</v>
      </c>
      <c r="AQ16" s="3">
        <f t="shared" si="14"/>
        <v>299792458</v>
      </c>
    </row>
    <row r="17" spans="1:43" x14ac:dyDescent="0.25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3"/>
        <v>2.299999999999993E-4</v>
      </c>
      <c r="G17" s="31">
        <f t="shared" si="4"/>
        <v>628.31853071795865</v>
      </c>
      <c r="H17" s="31">
        <f t="shared" si="5"/>
        <v>5837.0791503698356</v>
      </c>
      <c r="K17">
        <f t="shared" si="6"/>
        <v>50622992916553.375</v>
      </c>
      <c r="L17">
        <f t="shared" si="7"/>
        <v>17512835491.354244</v>
      </c>
      <c r="M17">
        <f t="shared" si="8"/>
        <v>1483266906228.3181</v>
      </c>
      <c r="O17" s="31">
        <f t="shared" si="9"/>
        <v>301351287.98938149</v>
      </c>
      <c r="P17">
        <f t="shared" si="10"/>
        <v>7219679.5398599962</v>
      </c>
      <c r="Q17" s="31">
        <f t="shared" si="11"/>
        <v>11799492.486923832</v>
      </c>
      <c r="R17" s="2">
        <f t="shared" si="12"/>
        <v>3.9155274781303089E-2</v>
      </c>
      <c r="S17" s="2">
        <f t="shared" si="15"/>
        <v>0.21591401401892707</v>
      </c>
      <c r="U17" s="20">
        <v>5</v>
      </c>
      <c r="V17" s="33">
        <f t="shared" si="13"/>
        <v>11799492.486923832</v>
      </c>
      <c r="W17" s="35">
        <f t="shared" si="0"/>
        <v>284266233.06115103</v>
      </c>
      <c r="X17" s="29">
        <f t="shared" si="1"/>
        <v>1.5033105894491572</v>
      </c>
      <c r="Y17" s="30">
        <f t="shared" si="1"/>
        <v>0.18690654060704073</v>
      </c>
      <c r="Z17" s="30">
        <f t="shared" si="1"/>
        <v>1.5216898041712552</v>
      </c>
      <c r="AA17" s="30">
        <f t="shared" si="1"/>
        <v>1.0187390463438959</v>
      </c>
      <c r="AB17" s="30">
        <f t="shared" si="1"/>
        <v>0</v>
      </c>
      <c r="AC17" s="30">
        <f t="shared" si="1"/>
        <v>0.84836583341631278</v>
      </c>
      <c r="AD17" s="30">
        <f t="shared" si="1"/>
        <v>0.13515111427339058</v>
      </c>
      <c r="AE17" s="30">
        <f t="shared" si="1"/>
        <v>1.0369704500262744</v>
      </c>
      <c r="AF17" s="30">
        <f t="shared" si="1"/>
        <v>0.18037073491412012</v>
      </c>
      <c r="AG17" s="30">
        <f t="shared" si="1"/>
        <v>0.41376201781534838</v>
      </c>
      <c r="AH17" s="30">
        <f t="shared" si="2"/>
        <v>0.14405855204821577</v>
      </c>
      <c r="AI17" s="30">
        <f t="shared" si="2"/>
        <v>1.3200675547046719</v>
      </c>
      <c r="AJ17" s="30">
        <f t="shared" si="2"/>
        <v>1.1656234505804306</v>
      </c>
      <c r="AK17" s="30">
        <f t="shared" si="2"/>
        <v>0.86534817836249234</v>
      </c>
      <c r="AL17" s="30">
        <f t="shared" si="2"/>
        <v>0.77311994742502099</v>
      </c>
      <c r="AM17" s="30">
        <f t="shared" si="2"/>
        <v>0.55521744500811854</v>
      </c>
      <c r="AN17" s="30">
        <f t="shared" si="2"/>
        <v>0.7551930302459855</v>
      </c>
      <c r="AO17" s="30">
        <f t="shared" si="2"/>
        <v>0.17188887317198673</v>
      </c>
      <c r="AP17" s="30">
        <f t="shared" si="2"/>
        <v>0.38571094219395685</v>
      </c>
      <c r="AQ17" s="3">
        <f t="shared" si="14"/>
        <v>299792458</v>
      </c>
    </row>
    <row r="18" spans="1:43" x14ac:dyDescent="0.25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3"/>
        <v>2.6000000000000155E-4</v>
      </c>
      <c r="G18" s="31">
        <f t="shared" si="4"/>
        <v>741.41586624719116</v>
      </c>
      <c r="H18" s="31">
        <f t="shared" si="5"/>
        <v>6295.7516777939454</v>
      </c>
      <c r="K18">
        <f t="shared" si="6"/>
        <v>45045588258415.641</v>
      </c>
      <c r="L18">
        <f t="shared" si="7"/>
        <v>15583353162.885683</v>
      </c>
      <c r="M18">
        <f t="shared" si="8"/>
        <v>1319847493913.1245</v>
      </c>
      <c r="O18" s="31">
        <f t="shared" si="9"/>
        <v>284266233.06115103</v>
      </c>
      <c r="P18">
        <f t="shared" si="10"/>
        <v>6810361.1582273412</v>
      </c>
      <c r="Q18" s="31">
        <f t="shared" si="11"/>
        <v>11553582.53513561</v>
      </c>
      <c r="R18" s="2">
        <f t="shared" si="12"/>
        <v>4.0643527761702943E-2</v>
      </c>
      <c r="S18" s="2">
        <f t="shared" si="15"/>
        <v>-2.2797946508449591</v>
      </c>
      <c r="U18" s="20">
        <v>6</v>
      </c>
      <c r="V18" s="33">
        <f t="shared" si="13"/>
        <v>11553582.53513561</v>
      </c>
      <c r="W18" s="35">
        <f t="shared" si="0"/>
        <v>298276174.59516788</v>
      </c>
      <c r="X18" s="27">
        <f t="shared" si="1"/>
        <v>0.68249369828474349</v>
      </c>
      <c r="Y18" s="28">
        <f t="shared" si="1"/>
        <v>1.0326846870086603</v>
      </c>
      <c r="Z18" s="28">
        <f t="shared" si="1"/>
        <v>0.67895065133373833</v>
      </c>
      <c r="AA18" s="28">
        <f t="shared" si="1"/>
        <v>0.18526241066839558</v>
      </c>
      <c r="AB18" s="28">
        <f t="shared" si="1"/>
        <v>0.84836583341631278</v>
      </c>
      <c r="AC18" s="28">
        <f t="shared" si="1"/>
        <v>0</v>
      </c>
      <c r="AD18" s="28">
        <f t="shared" si="1"/>
        <v>0.98658901036471913</v>
      </c>
      <c r="AE18" s="28">
        <f t="shared" si="1"/>
        <v>0.18947533698203053</v>
      </c>
      <c r="AF18" s="28">
        <f t="shared" si="1"/>
        <v>1.0306168535204436</v>
      </c>
      <c r="AG18" s="28">
        <f t="shared" si="1"/>
        <v>0.44081034994255014</v>
      </c>
      <c r="AH18" s="28">
        <f t="shared" si="2"/>
        <v>0.70826054742100331</v>
      </c>
      <c r="AI18" s="28">
        <f t="shared" si="2"/>
        <v>0.4779613036603424</v>
      </c>
      <c r="AJ18" s="28">
        <f t="shared" si="2"/>
        <v>0.33195524492530909</v>
      </c>
      <c r="AK18" s="28">
        <f t="shared" si="2"/>
        <v>2.7324504682340461E-2</v>
      </c>
      <c r="AL18" s="28">
        <f t="shared" si="2"/>
        <v>6.8530213625004638E-2</v>
      </c>
      <c r="AM18" s="28">
        <f t="shared" si="2"/>
        <v>0.28955793801036556</v>
      </c>
      <c r="AN18" s="28">
        <f t="shared" si="2"/>
        <v>8.9381560337646909E-2</v>
      </c>
      <c r="AO18" s="28">
        <f t="shared" si="2"/>
        <v>0.67710324765002328</v>
      </c>
      <c r="AP18" s="28">
        <f t="shared" si="2"/>
        <v>0.46611638198922262</v>
      </c>
      <c r="AQ18" s="3">
        <f t="shared" si="14"/>
        <v>299792458</v>
      </c>
    </row>
    <row r="19" spans="1:43" x14ac:dyDescent="0.25">
      <c r="A19">
        <v>7</v>
      </c>
      <c r="B19">
        <v>115</v>
      </c>
      <c r="C19">
        <v>1435</v>
      </c>
      <c r="D19" s="1">
        <v>9.9399999999999992E-3</v>
      </c>
      <c r="E19" s="1">
        <v>1.031E-2</v>
      </c>
      <c r="F19">
        <f t="shared" si="3"/>
        <v>3.7000000000000054E-4</v>
      </c>
      <c r="G19" s="31">
        <f t="shared" si="4"/>
        <v>722.56631032565247</v>
      </c>
      <c r="H19" s="31">
        <f t="shared" si="5"/>
        <v>9016.3709158027068</v>
      </c>
      <c r="K19">
        <f t="shared" si="6"/>
        <v>49595108306181.703</v>
      </c>
      <c r="L19">
        <f t="shared" si="7"/>
        <v>17157242646.118742</v>
      </c>
      <c r="M19">
        <f t="shared" si="8"/>
        <v>1453149618842.7446</v>
      </c>
      <c r="O19" s="31">
        <f t="shared" si="9"/>
        <v>298276174.59516788</v>
      </c>
      <c r="P19">
        <f t="shared" si="10"/>
        <v>7146006.9386805501</v>
      </c>
      <c r="Q19" s="31">
        <f t="shared" si="11"/>
        <v>11754559.347690133</v>
      </c>
      <c r="R19" s="2">
        <f t="shared" si="12"/>
        <v>3.9408307967084139E-2</v>
      </c>
      <c r="S19" s="2">
        <f t="shared" si="15"/>
        <v>-0.21218610866785606</v>
      </c>
      <c r="U19" s="20">
        <v>7</v>
      </c>
      <c r="V19" s="33">
        <f t="shared" si="13"/>
        <v>11754559.347690133</v>
      </c>
      <c r="W19" s="35">
        <f t="shared" si="0"/>
        <v>282015256.10252202</v>
      </c>
      <c r="X19" s="29">
        <f t="shared" si="1"/>
        <v>1.6393263928614175</v>
      </c>
      <c r="Y19" s="30">
        <f t="shared" si="1"/>
        <v>5.2816649900239362E-2</v>
      </c>
      <c r="Z19" s="30">
        <f t="shared" si="1"/>
        <v>1.6614909335077928</v>
      </c>
      <c r="AA19" s="30">
        <f t="shared" si="1"/>
        <v>1.1551345567907054</v>
      </c>
      <c r="AB19" s="30">
        <f t="shared" si="1"/>
        <v>0.13515111427339058</v>
      </c>
      <c r="AC19" s="30">
        <f t="shared" si="1"/>
        <v>0.98658901036471913</v>
      </c>
      <c r="AD19" s="30">
        <f t="shared" si="1"/>
        <v>0</v>
      </c>
      <c r="AE19" s="30">
        <f t="shared" si="1"/>
        <v>1.1757503959000455</v>
      </c>
      <c r="AF19" s="30">
        <f t="shared" si="1"/>
        <v>4.556476335642546E-2</v>
      </c>
      <c r="AG19" s="30">
        <f t="shared" si="1"/>
        <v>0.551388571329407</v>
      </c>
      <c r="AH19" s="30">
        <f t="shared" si="2"/>
        <v>0.2803460873866308</v>
      </c>
      <c r="AI19" s="30">
        <f t="shared" si="2"/>
        <v>1.4590049845978665</v>
      </c>
      <c r="AJ19" s="30">
        <f t="shared" si="2"/>
        <v>1.3025816002146646</v>
      </c>
      <c r="AK19" s="30">
        <f t="shared" si="2"/>
        <v>1.0019389416806332</v>
      </c>
      <c r="AL19" s="30">
        <f t="shared" si="2"/>
        <v>0.90996994865885195</v>
      </c>
      <c r="AM19" s="30">
        <f t="shared" si="2"/>
        <v>0.69178551150566947</v>
      </c>
      <c r="AN19" s="30">
        <f t="shared" si="2"/>
        <v>0.89245463817206527</v>
      </c>
      <c r="AO19" s="30">
        <f t="shared" si="2"/>
        <v>0.30775107432840487</v>
      </c>
      <c r="AP19" s="30">
        <f t="shared" si="2"/>
        <v>0.52279597971456293</v>
      </c>
      <c r="AQ19" s="3">
        <f t="shared" si="14"/>
        <v>299792458</v>
      </c>
    </row>
    <row r="20" spans="1:43" x14ac:dyDescent="0.25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3"/>
        <v>2.6000000000000155E-4</v>
      </c>
      <c r="G20" s="31">
        <f t="shared" si="4"/>
        <v>628.31853071795865</v>
      </c>
      <c r="H20" s="31">
        <f t="shared" si="5"/>
        <v>6138.6720451144556</v>
      </c>
      <c r="K20">
        <f t="shared" si="6"/>
        <v>44335021103692.289</v>
      </c>
      <c r="L20">
        <f t="shared" si="7"/>
        <v>15337535107.308796</v>
      </c>
      <c r="M20">
        <f t="shared" si="8"/>
        <v>1299027690805.2505</v>
      </c>
      <c r="O20" s="31">
        <f t="shared" si="9"/>
        <v>282015256.10252202</v>
      </c>
      <c r="P20">
        <f t="shared" si="10"/>
        <v>6756432.9590106085</v>
      </c>
      <c r="Q20" s="31">
        <f t="shared" si="11"/>
        <v>11521876.436601106</v>
      </c>
      <c r="R20" s="2">
        <f t="shared" si="12"/>
        <v>4.0855507591449298E-2</v>
      </c>
      <c r="S20" s="2">
        <f t="shared" si="15"/>
        <v>-2.6311519710662865</v>
      </c>
      <c r="U20" s="20">
        <v>8</v>
      </c>
      <c r="V20" s="33">
        <f t="shared" si="13"/>
        <v>11521876.436601106</v>
      </c>
      <c r="W20" s="35">
        <f t="shared" si="0"/>
        <v>301367811.25333238</v>
      </c>
      <c r="X20" s="27">
        <f t="shared" si="1"/>
        <v>0.49863490966546525</v>
      </c>
      <c r="Y20" s="28">
        <f t="shared" si="1"/>
        <v>1.2205197684625306</v>
      </c>
      <c r="Z20" s="28">
        <f t="shared" si="1"/>
        <v>0.49004804292200477</v>
      </c>
      <c r="AA20" s="28">
        <f t="shared" si="1"/>
        <v>9.9678023285792701E-4</v>
      </c>
      <c r="AB20" s="28">
        <f t="shared" si="1"/>
        <v>1.0369704500262744</v>
      </c>
      <c r="AC20" s="28">
        <f t="shared" si="1"/>
        <v>0.18947533698203053</v>
      </c>
      <c r="AD20" s="28">
        <f t="shared" si="1"/>
        <v>1.1757503959000455</v>
      </c>
      <c r="AE20" s="28">
        <f t="shared" si="1"/>
        <v>0</v>
      </c>
      <c r="AF20" s="28">
        <f t="shared" si="1"/>
        <v>1.2194644348456296</v>
      </c>
      <c r="AG20" s="28">
        <f t="shared" si="1"/>
        <v>0.63124178708621392</v>
      </c>
      <c r="AH20" s="28">
        <f t="shared" si="2"/>
        <v>0.89790378168423168</v>
      </c>
      <c r="AI20" s="28">
        <f t="shared" si="2"/>
        <v>0.28941825209541527</v>
      </c>
      <c r="AJ20" s="28">
        <f t="shared" si="2"/>
        <v>0.14550205923154935</v>
      </c>
      <c r="AK20" s="28">
        <f t="shared" si="2"/>
        <v>0.15981380479971294</v>
      </c>
      <c r="AL20" s="28">
        <f t="shared" si="2"/>
        <v>0.25639910655004294</v>
      </c>
      <c r="AM20" s="28">
        <f t="shared" si="2"/>
        <v>0.47791333680780868</v>
      </c>
      <c r="AN20" s="28">
        <f t="shared" si="2"/>
        <v>0.27789709161833903</v>
      </c>
      <c r="AO20" s="28">
        <f t="shared" si="2"/>
        <v>0.86602287100479447</v>
      </c>
      <c r="AP20" s="28">
        <f t="shared" si="2"/>
        <v>0.65589656819176223</v>
      </c>
      <c r="AQ20" s="3">
        <f t="shared" si="14"/>
        <v>299792458</v>
      </c>
    </row>
    <row r="21" spans="1:43" x14ac:dyDescent="0.25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3"/>
        <v>2.2000000000000144E-4</v>
      </c>
      <c r="G21" s="31">
        <f t="shared" si="4"/>
        <v>672.30082786821572</v>
      </c>
      <c r="H21" s="31">
        <f t="shared" si="5"/>
        <v>5654.8667764616275</v>
      </c>
      <c r="K21">
        <f t="shared" si="6"/>
        <v>50628544444215.563</v>
      </c>
      <c r="L21">
        <f t="shared" si="7"/>
        <v>17514756021.63253</v>
      </c>
      <c r="M21">
        <f t="shared" si="8"/>
        <v>1483429567437.8972</v>
      </c>
      <c r="O21" s="31">
        <f t="shared" si="9"/>
        <v>301367811.25333238</v>
      </c>
      <c r="P21">
        <f t="shared" si="10"/>
        <v>7220075.3990297839</v>
      </c>
      <c r="Q21" s="31">
        <f t="shared" si="11"/>
        <v>11799734.702880995</v>
      </c>
      <c r="R21" s="2">
        <f t="shared" si="12"/>
        <v>3.9153931714897172E-2</v>
      </c>
      <c r="S21" s="2">
        <f t="shared" si="15"/>
        <v>0.21819069279305153</v>
      </c>
      <c r="U21" s="20">
        <v>9</v>
      </c>
      <c r="V21" s="33">
        <f t="shared" si="13"/>
        <v>11799734.702880995</v>
      </c>
      <c r="W21" s="35">
        <f t="shared" si="0"/>
        <v>281256355.29932851</v>
      </c>
      <c r="X21" s="29">
        <f t="shared" si="1"/>
        <v>1.6811139864396913</v>
      </c>
      <c r="Y21" s="30">
        <f t="shared" si="1"/>
        <v>7.4761856892833489E-3</v>
      </c>
      <c r="Z21" s="30">
        <f t="shared" si="1"/>
        <v>1.7042746529593882</v>
      </c>
      <c r="AA21" s="30">
        <f t="shared" si="1"/>
        <v>1.1981983452962452</v>
      </c>
      <c r="AB21" s="30">
        <f t="shared" si="1"/>
        <v>0.18037073491412012</v>
      </c>
      <c r="AC21" s="30">
        <f t="shared" si="1"/>
        <v>1.0306168535204436</v>
      </c>
      <c r="AD21" s="30">
        <f t="shared" si="1"/>
        <v>4.556476335642546E-2</v>
      </c>
      <c r="AE21" s="30">
        <f t="shared" si="1"/>
        <v>1.2194644348456296</v>
      </c>
      <c r="AF21" s="30">
        <f t="shared" si="1"/>
        <v>0</v>
      </c>
      <c r="AG21" s="30">
        <f t="shared" si="1"/>
        <v>0.59634491995440064</v>
      </c>
      <c r="AH21" s="30">
        <f t="shared" si="2"/>
        <v>0.32556894361045335</v>
      </c>
      <c r="AI21" s="30">
        <f t="shared" si="2"/>
        <v>1.5020526615097576</v>
      </c>
      <c r="AJ21" s="30">
        <f t="shared" si="2"/>
        <v>1.3454487692892505</v>
      </c>
      <c r="AK21" s="30">
        <f t="shared" si="2"/>
        <v>1.0454380700682087</v>
      </c>
      <c r="AL21" s="30">
        <f t="shared" si="2"/>
        <v>0.95377605066939442</v>
      </c>
      <c r="AM21" s="30">
        <f t="shared" si="2"/>
        <v>0.73605210437863955</v>
      </c>
      <c r="AN21" s="30">
        <f t="shared" si="2"/>
        <v>0.93642965275926271</v>
      </c>
      <c r="AO21" s="30">
        <f t="shared" si="2"/>
        <v>0.3527652154929885</v>
      </c>
      <c r="AP21" s="30">
        <f t="shared" si="2"/>
        <v>0.56765417525865669</v>
      </c>
      <c r="AQ21" s="3">
        <f t="shared" si="14"/>
        <v>299792458</v>
      </c>
    </row>
    <row r="22" spans="1:43" x14ac:dyDescent="0.25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6">ABS(E22-D22)</f>
        <v>2.5000000000000022E-4</v>
      </c>
      <c r="G22" s="31">
        <f t="shared" ref="G22:G32" si="17">2*PI()*B22</f>
        <v>684.86719848257485</v>
      </c>
      <c r="H22" s="31">
        <f t="shared" ref="H22:H32" si="18">2*PI()*C22</f>
        <v>5969.0260418206071</v>
      </c>
      <c r="K22">
        <f t="shared" ref="K22:K32" si="19">((4*$B$3*(2*$B$4+$B$3-2*$B$2)*$B$2*(H22-G22))/(($B$5-$B$2)^2*F22)*$C$3)^2</f>
        <v>44096731777163.734</v>
      </c>
      <c r="L22">
        <f t="shared" ref="L22:L32" si="20">((4*$B$6*$B$2*(G22-H22)/(($B$5-$B$2)^2*F22))*$C$4)^2</f>
        <v>15255099804.012539</v>
      </c>
      <c r="M22">
        <f t="shared" ref="M22:M32" si="21">((4*$B$6*$B$5*(H22-G22)/(($B$5-$B$2)^2*F22))*$C$2)^2</f>
        <v>1292045751338.9319</v>
      </c>
      <c r="O22" s="31">
        <f t="shared" ref="O22:O32" si="22">4*$B$2*$B$6*ABS(H22-G22)/(($B$5-$B$2)*F22)</f>
        <v>281256355.29932851</v>
      </c>
      <c r="P22">
        <f t="shared" ref="P22:P32" si="23">SQRT(K22+L22+M22)</f>
        <v>6738251.4518461451</v>
      </c>
      <c r="Q22" s="31">
        <f t="shared" si="11"/>
        <v>11511224.214609219</v>
      </c>
      <c r="R22" s="2">
        <f t="shared" si="12"/>
        <v>4.0927872375926724E-2</v>
      </c>
      <c r="S22" s="2">
        <f t="shared" si="15"/>
        <v>-2.750877261428553</v>
      </c>
      <c r="U22" s="20">
        <v>10</v>
      </c>
      <c r="V22" s="33">
        <f t="shared" si="13"/>
        <v>11511224.214609219</v>
      </c>
      <c r="W22" s="35">
        <f t="shared" si="0"/>
        <v>291086862.49218649</v>
      </c>
      <c r="X22" s="27">
        <f t="shared" si="1"/>
        <v>1.1134909129708639</v>
      </c>
      <c r="Y22" s="28">
        <f t="shared" si="1"/>
        <v>0.60072645565215899</v>
      </c>
      <c r="Z22" s="28">
        <f t="shared" si="1"/>
        <v>1.1218570324062718</v>
      </c>
      <c r="AA22" s="28">
        <f t="shared" si="1"/>
        <v>0.61948700297431192</v>
      </c>
      <c r="AB22" s="28">
        <f t="shared" si="1"/>
        <v>0.41376201781534838</v>
      </c>
      <c r="AC22" s="28">
        <f t="shared" si="1"/>
        <v>0.44081034994255014</v>
      </c>
      <c r="AD22" s="28">
        <f t="shared" si="1"/>
        <v>0.551388571329407</v>
      </c>
      <c r="AE22" s="28">
        <f t="shared" si="1"/>
        <v>0.63124178708621392</v>
      </c>
      <c r="AF22" s="28">
        <f t="shared" si="1"/>
        <v>0.59634491995440064</v>
      </c>
      <c r="AG22" s="28">
        <f t="shared" si="1"/>
        <v>0</v>
      </c>
      <c r="AH22" s="28">
        <f t="shared" si="2"/>
        <v>0.27059341997996722</v>
      </c>
      <c r="AI22" s="28">
        <f t="shared" si="2"/>
        <v>0.91899884832534084</v>
      </c>
      <c r="AJ22" s="28">
        <f t="shared" si="2"/>
        <v>0.76735356781796971</v>
      </c>
      <c r="AK22" s="28">
        <f t="shared" si="2"/>
        <v>0.46282706872458873</v>
      </c>
      <c r="AL22" s="28">
        <f t="shared" si="2"/>
        <v>0.36820067767712533</v>
      </c>
      <c r="AM22" s="28">
        <f t="shared" si="2"/>
        <v>0.14721056963700457</v>
      </c>
      <c r="AN22" s="28">
        <f t="shared" si="2"/>
        <v>0.34874911468888564</v>
      </c>
      <c r="AO22" s="28">
        <f t="shared" si="2"/>
        <v>0.2409415308936339</v>
      </c>
      <c r="AP22" s="28">
        <f t="shared" si="2"/>
        <v>2.6933497411452026E-2</v>
      </c>
      <c r="AQ22" s="3">
        <f t="shared" si="14"/>
        <v>299792458</v>
      </c>
    </row>
    <row r="23" spans="1:43" x14ac:dyDescent="0.25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6"/>
        <v>3.8000000000000013E-4</v>
      </c>
      <c r="G23" s="31">
        <f t="shared" si="17"/>
        <v>747.69905155437073</v>
      </c>
      <c r="H23" s="31">
        <f t="shared" si="18"/>
        <v>9060.3532129529631</v>
      </c>
      <c r="K23">
        <f t="shared" si="19"/>
        <v>47233151527119.313</v>
      </c>
      <c r="L23">
        <f t="shared" si="20"/>
        <v>16340132512.437119</v>
      </c>
      <c r="M23">
        <f t="shared" si="21"/>
        <v>1383943668690.8069</v>
      </c>
      <c r="O23" s="31">
        <f t="shared" si="22"/>
        <v>291086862.49218649</v>
      </c>
      <c r="P23">
        <f t="shared" si="23"/>
        <v>6973767.6566059003</v>
      </c>
      <c r="Q23" s="31">
        <f t="shared" si="11"/>
        <v>11650651.725076219</v>
      </c>
      <c r="R23" s="2">
        <f t="shared" si="12"/>
        <v>4.0024656644849277E-2</v>
      </c>
      <c r="S23" s="2">
        <f t="shared" si="15"/>
        <v>-1.248334607128349</v>
      </c>
      <c r="U23" s="20">
        <v>11</v>
      </c>
      <c r="V23" s="33">
        <f t="shared" si="13"/>
        <v>11650651.725076219</v>
      </c>
      <c r="W23" s="35">
        <f t="shared" si="0"/>
        <v>286655024.935615</v>
      </c>
      <c r="X23" s="29">
        <f t="shared" ref="X23:AG31" si="24">ABS(($W23-X$12)/SQRT($V23^2+X$11^2))</f>
        <v>1.3705573716165684</v>
      </c>
      <c r="Y23" s="30">
        <f t="shared" si="24"/>
        <v>0.3313731099999751</v>
      </c>
      <c r="Z23" s="30">
        <f t="shared" si="24"/>
        <v>1.3856964029474172</v>
      </c>
      <c r="AA23" s="30">
        <f t="shared" si="24"/>
        <v>0.88178981300964354</v>
      </c>
      <c r="AB23" s="30">
        <f t="shared" si="24"/>
        <v>0.14405855204821577</v>
      </c>
      <c r="AC23" s="30">
        <f t="shared" si="24"/>
        <v>0.70826054742100331</v>
      </c>
      <c r="AD23" s="30">
        <f t="shared" si="24"/>
        <v>0.2803460873866308</v>
      </c>
      <c r="AE23" s="30">
        <f t="shared" si="24"/>
        <v>0.89790378168423168</v>
      </c>
      <c r="AF23" s="30">
        <f t="shared" si="24"/>
        <v>0.32556894361045335</v>
      </c>
      <c r="AG23" s="30">
        <f t="shared" si="24"/>
        <v>0.27059341997996722</v>
      </c>
      <c r="AH23" s="30">
        <f t="shared" ref="AH23:AP31" si="25">ABS(($W23-AH$12)/SQRT($V23^2+AH$11^2))</f>
        <v>0</v>
      </c>
      <c r="AI23" s="30">
        <f t="shared" si="25"/>
        <v>1.1831966509302776</v>
      </c>
      <c r="AJ23" s="30">
        <f t="shared" si="25"/>
        <v>1.0293271492530802</v>
      </c>
      <c r="AK23" s="30">
        <f t="shared" si="25"/>
        <v>0.72696788122786971</v>
      </c>
      <c r="AL23" s="30">
        <f t="shared" si="25"/>
        <v>0.63373161749155105</v>
      </c>
      <c r="AM23" s="30">
        <f t="shared" si="25"/>
        <v>0.41431026959067696</v>
      </c>
      <c r="AN23" s="30">
        <f t="shared" si="25"/>
        <v>0.61525255909744248</v>
      </c>
      <c r="AO23" s="30">
        <f t="shared" si="25"/>
        <v>2.8513610945952304E-2</v>
      </c>
      <c r="AP23" s="30">
        <f t="shared" si="25"/>
        <v>0.24286062159030564</v>
      </c>
      <c r="AQ23" s="3">
        <f t="shared" si="14"/>
        <v>299792458</v>
      </c>
    </row>
    <row r="24" spans="1:43" x14ac:dyDescent="0.25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6"/>
        <v>3.8500000000000166E-4</v>
      </c>
      <c r="G24" s="31">
        <f t="shared" si="17"/>
        <v>753.98223686155029</v>
      </c>
      <c r="H24" s="31">
        <f t="shared" si="18"/>
        <v>9047.7868423386044</v>
      </c>
      <c r="K24">
        <f t="shared" si="19"/>
        <v>45805837929608.625</v>
      </c>
      <c r="L24">
        <f t="shared" si="20"/>
        <v>15846358699.636656</v>
      </c>
      <c r="M24">
        <f t="shared" si="21"/>
        <v>1342123007721.8467</v>
      </c>
      <c r="O24" s="31">
        <f t="shared" si="22"/>
        <v>286655024.935615</v>
      </c>
      <c r="P24">
        <f t="shared" si="23"/>
        <v>6867591.0839267429</v>
      </c>
      <c r="Q24" s="31">
        <f t="shared" si="11"/>
        <v>11587409.442439195</v>
      </c>
      <c r="R24" s="2">
        <f t="shared" si="12"/>
        <v>4.0422837328743216E-2</v>
      </c>
      <c r="S24" s="2">
        <f t="shared" ref="S24:S32" si="26">(O24-$B$10)/P24</f>
        <v>-1.9129608772328495</v>
      </c>
      <c r="U24" s="20">
        <v>12</v>
      </c>
      <c r="V24" s="33">
        <f t="shared" si="13"/>
        <v>11587409.442439195</v>
      </c>
      <c r="W24" s="35">
        <f t="shared" si="0"/>
        <v>306097136.58055419</v>
      </c>
      <c r="X24" s="27">
        <f t="shared" si="24"/>
        <v>0.21543851079980614</v>
      </c>
      <c r="Y24" s="28">
        <f t="shared" si="24"/>
        <v>1.5016230715941898</v>
      </c>
      <c r="Z24" s="28">
        <f t="shared" si="24"/>
        <v>0.19908163121182373</v>
      </c>
      <c r="AA24" s="28">
        <f t="shared" si="24"/>
        <v>0.28551174473062613</v>
      </c>
      <c r="AB24" s="28">
        <f t="shared" si="24"/>
        <v>1.3200675547046719</v>
      </c>
      <c r="AC24" s="28">
        <f t="shared" si="24"/>
        <v>0.4779613036603424</v>
      </c>
      <c r="AD24" s="28">
        <f t="shared" si="24"/>
        <v>1.4590049845978665</v>
      </c>
      <c r="AE24" s="28">
        <f t="shared" si="24"/>
        <v>0.28941825209541527</v>
      </c>
      <c r="AF24" s="28">
        <f t="shared" si="24"/>
        <v>1.5020526615097576</v>
      </c>
      <c r="AG24" s="28">
        <f t="shared" si="24"/>
        <v>0.91899884832534084</v>
      </c>
      <c r="AH24" s="28">
        <f t="shared" si="25"/>
        <v>1.1831966509302776</v>
      </c>
      <c r="AI24" s="28">
        <f t="shared" si="25"/>
        <v>0</v>
      </c>
      <c r="AJ24" s="28">
        <f t="shared" si="25"/>
        <v>0.14000982117100144</v>
      </c>
      <c r="AK24" s="28">
        <f t="shared" si="25"/>
        <v>0.44490512726879011</v>
      </c>
      <c r="AL24" s="28">
        <f t="shared" si="25"/>
        <v>0.54213149711338449</v>
      </c>
      <c r="AM24" s="28">
        <f t="shared" si="25"/>
        <v>0.7633115624389073</v>
      </c>
      <c r="AN24" s="28">
        <f t="shared" si="25"/>
        <v>0.56450166279334313</v>
      </c>
      <c r="AO24" s="28">
        <f t="shared" si="25"/>
        <v>1.1503992363397564</v>
      </c>
      <c r="AP24" s="28">
        <f t="shared" si="25"/>
        <v>0.94256315092881859</v>
      </c>
      <c r="AQ24" s="3">
        <f t="shared" si="14"/>
        <v>299792458</v>
      </c>
    </row>
    <row r="25" spans="1:43" x14ac:dyDescent="0.25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6"/>
        <v>3.6000000000000094E-4</v>
      </c>
      <c r="G25" s="31">
        <f t="shared" si="17"/>
        <v>640.88490133231778</v>
      </c>
      <c r="H25" s="31">
        <f t="shared" si="18"/>
        <v>8922.1231361950122</v>
      </c>
      <c r="K25">
        <f t="shared" si="19"/>
        <v>52230026684323.18</v>
      </c>
      <c r="L25">
        <f t="shared" si="20"/>
        <v>18068782826.400112</v>
      </c>
      <c r="M25">
        <f t="shared" si="21"/>
        <v>1530353415096.9968</v>
      </c>
      <c r="O25" s="31">
        <f t="shared" si="22"/>
        <v>306097136.58055419</v>
      </c>
      <c r="P25">
        <f t="shared" si="23"/>
        <v>7333379.0903134542</v>
      </c>
      <c r="Q25" s="31">
        <f t="shared" si="11"/>
        <v>11869401.803500693</v>
      </c>
      <c r="R25" s="2">
        <f t="shared" si="12"/>
        <v>3.8776585550897753E-2</v>
      </c>
      <c r="S25" s="2">
        <f t="shared" si="26"/>
        <v>0.85972353302748783</v>
      </c>
      <c r="U25" s="20">
        <v>13</v>
      </c>
      <c r="V25" s="33">
        <f t="shared" si="13"/>
        <v>11869401.803500693</v>
      </c>
      <c r="W25" s="35">
        <f t="shared" si="0"/>
        <v>303774700.03593844</v>
      </c>
      <c r="X25" s="29">
        <f t="shared" si="24"/>
        <v>0.34976392267562206</v>
      </c>
      <c r="Y25" s="30">
        <f t="shared" si="24"/>
        <v>1.3459290718341157</v>
      </c>
      <c r="Z25" s="30">
        <f t="shared" si="24"/>
        <v>0.33712826235060678</v>
      </c>
      <c r="AA25" s="30">
        <f t="shared" si="24"/>
        <v>0.14407879896452738</v>
      </c>
      <c r="AB25" s="30">
        <f t="shared" si="24"/>
        <v>1.1656234505804306</v>
      </c>
      <c r="AC25" s="30">
        <f t="shared" si="24"/>
        <v>0.33195524492530909</v>
      </c>
      <c r="AD25" s="30">
        <f t="shared" si="24"/>
        <v>1.3025816002146646</v>
      </c>
      <c r="AE25" s="30">
        <f t="shared" si="24"/>
        <v>0.14550205923154935</v>
      </c>
      <c r="AF25" s="30">
        <f t="shared" si="24"/>
        <v>1.3454487692892505</v>
      </c>
      <c r="AG25" s="30">
        <f t="shared" si="24"/>
        <v>0.76735356781796971</v>
      </c>
      <c r="AH25" s="30">
        <f t="shared" si="25"/>
        <v>1.0293271492530802</v>
      </c>
      <c r="AI25" s="30">
        <f t="shared" si="25"/>
        <v>0.14000982117100144</v>
      </c>
      <c r="AJ25" s="30">
        <f t="shared" si="25"/>
        <v>0</v>
      </c>
      <c r="AK25" s="30">
        <f t="shared" si="25"/>
        <v>0.30107991371832227</v>
      </c>
      <c r="AL25" s="30">
        <f t="shared" si="25"/>
        <v>0.39668221015024463</v>
      </c>
      <c r="AM25" s="30">
        <f t="shared" si="25"/>
        <v>0.61507399319221778</v>
      </c>
      <c r="AN25" s="30">
        <f t="shared" si="25"/>
        <v>0.41829865704495672</v>
      </c>
      <c r="AO25" s="30">
        <f t="shared" si="25"/>
        <v>0.99750538117094401</v>
      </c>
      <c r="AP25" s="30">
        <f t="shared" si="25"/>
        <v>0.79120072479746317</v>
      </c>
      <c r="AQ25" s="3">
        <f t="shared" si="14"/>
        <v>299792458</v>
      </c>
    </row>
    <row r="26" spans="1:43" x14ac:dyDescent="0.25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6"/>
        <v>3.5999999999999921E-4</v>
      </c>
      <c r="G26" s="31">
        <f t="shared" si="17"/>
        <v>797.96453401180747</v>
      </c>
      <c r="H26" s="31">
        <f t="shared" si="18"/>
        <v>9016.3709158027068</v>
      </c>
      <c r="K26">
        <f t="shared" si="19"/>
        <v>51440468483106.977</v>
      </c>
      <c r="L26">
        <f t="shared" si="20"/>
        <v>17795638113.057266</v>
      </c>
      <c r="M26">
        <f t="shared" si="21"/>
        <v>1507219153708.3901</v>
      </c>
      <c r="O26" s="31">
        <f t="shared" si="22"/>
        <v>303774700.03593844</v>
      </c>
      <c r="P26">
        <f t="shared" si="23"/>
        <v>7277738.8847724143</v>
      </c>
      <c r="Q26" s="31">
        <f t="shared" si="11"/>
        <v>11835105.980329342</v>
      </c>
      <c r="R26" s="2">
        <f t="shared" si="12"/>
        <v>3.8960143747748498E-2</v>
      </c>
      <c r="S26" s="2">
        <f t="shared" si="26"/>
        <v>0.54718121919305052</v>
      </c>
      <c r="U26" s="20">
        <v>14</v>
      </c>
      <c r="V26" s="33">
        <f t="shared" si="13"/>
        <v>11835105.980329342</v>
      </c>
      <c r="W26" s="35">
        <f t="shared" si="0"/>
        <v>298728108.19303924</v>
      </c>
      <c r="X26" s="27">
        <f t="shared" si="24"/>
        <v>0.64796828401239914</v>
      </c>
      <c r="Y26" s="28">
        <f t="shared" si="24"/>
        <v>1.0474685430032624</v>
      </c>
      <c r="Z26" s="28">
        <f t="shared" si="24"/>
        <v>0.64332337256871164</v>
      </c>
      <c r="AA26" s="28">
        <f t="shared" si="24"/>
        <v>0.15618012146228838</v>
      </c>
      <c r="AB26" s="28">
        <f t="shared" si="24"/>
        <v>0.86534817836249234</v>
      </c>
      <c r="AC26" s="28">
        <f t="shared" si="24"/>
        <v>2.7324504682340461E-2</v>
      </c>
      <c r="AD26" s="28">
        <f t="shared" si="24"/>
        <v>1.0019389416806332</v>
      </c>
      <c r="AE26" s="28">
        <f t="shared" si="24"/>
        <v>0.15981380479971294</v>
      </c>
      <c r="AF26" s="28">
        <f t="shared" si="24"/>
        <v>1.0454380700682087</v>
      </c>
      <c r="AG26" s="28">
        <f t="shared" si="24"/>
        <v>0.46282706872458873</v>
      </c>
      <c r="AH26" s="28">
        <f t="shared" si="25"/>
        <v>0.72696788122786971</v>
      </c>
      <c r="AI26" s="28">
        <f t="shared" si="25"/>
        <v>0.44490512726879011</v>
      </c>
      <c r="AJ26" s="28">
        <f t="shared" si="25"/>
        <v>0.30107991371832227</v>
      </c>
      <c r="AK26" s="28">
        <f t="shared" si="25"/>
        <v>0</v>
      </c>
      <c r="AL26" s="28">
        <f t="shared" si="25"/>
        <v>9.4800916323051362E-2</v>
      </c>
      <c r="AM26" s="28">
        <f t="shared" si="25"/>
        <v>0.31321878069286097</v>
      </c>
      <c r="AN26" s="28">
        <f t="shared" si="25"/>
        <v>0.11548409166137223</v>
      </c>
      <c r="AO26" s="28">
        <f t="shared" si="25"/>
        <v>0.69614686702501871</v>
      </c>
      <c r="AP26" s="28">
        <f t="shared" si="25"/>
        <v>0.48776968682317379</v>
      </c>
      <c r="AQ26" s="3">
        <f t="shared" si="14"/>
        <v>299792458</v>
      </c>
    </row>
    <row r="27" spans="1:43" x14ac:dyDescent="0.25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6"/>
        <v>3.7000000000000054E-4</v>
      </c>
      <c r="G27" s="31">
        <f t="shared" si="17"/>
        <v>716.28312501847279</v>
      </c>
      <c r="H27" s="31">
        <f t="shared" si="18"/>
        <v>9022.6541011098852</v>
      </c>
      <c r="K27">
        <f t="shared" si="19"/>
        <v>49745510367872.359</v>
      </c>
      <c r="L27">
        <f t="shared" si="20"/>
        <v>17209273678.110291</v>
      </c>
      <c r="M27">
        <f t="shared" si="21"/>
        <v>1457556438508.7019</v>
      </c>
      <c r="O27" s="31">
        <f t="shared" si="22"/>
        <v>298728108.19303924</v>
      </c>
      <c r="P27">
        <f t="shared" si="23"/>
        <v>7156834.2219209727</v>
      </c>
      <c r="Q27" s="31">
        <f t="shared" si="11"/>
        <v>11761144.772969939</v>
      </c>
      <c r="R27" s="2">
        <f t="shared" si="12"/>
        <v>3.9370733621657869E-2</v>
      </c>
      <c r="S27" s="2">
        <f t="shared" si="26"/>
        <v>-0.14871796299273204</v>
      </c>
      <c r="U27" s="20">
        <v>15</v>
      </c>
      <c r="V27" s="33">
        <f t="shared" si="13"/>
        <v>11761144.772969939</v>
      </c>
      <c r="W27" s="35">
        <f t="shared" si="0"/>
        <v>297146340.60049045</v>
      </c>
      <c r="X27" s="29">
        <f t="shared" si="24"/>
        <v>0.7435417336614889</v>
      </c>
      <c r="Y27" s="30">
        <f t="shared" si="24"/>
        <v>0.95627527896353837</v>
      </c>
      <c r="Z27" s="30">
        <f t="shared" si="24"/>
        <v>0.74151546984297667</v>
      </c>
      <c r="AA27" s="30">
        <f t="shared" si="24"/>
        <v>0.25113417100093671</v>
      </c>
      <c r="AB27" s="30">
        <f t="shared" si="24"/>
        <v>0.77311994742502099</v>
      </c>
      <c r="AC27" s="30">
        <f t="shared" si="24"/>
        <v>6.8530213625004638E-2</v>
      </c>
      <c r="AD27" s="30">
        <f t="shared" si="24"/>
        <v>0.90996994865885195</v>
      </c>
      <c r="AE27" s="30">
        <f t="shared" si="24"/>
        <v>0.25639910655004294</v>
      </c>
      <c r="AF27" s="30">
        <f t="shared" si="24"/>
        <v>0.95377605066939442</v>
      </c>
      <c r="AG27" s="30">
        <f t="shared" si="24"/>
        <v>0.36820067767712533</v>
      </c>
      <c r="AH27" s="30">
        <f t="shared" si="25"/>
        <v>0.63373161749155105</v>
      </c>
      <c r="AI27" s="30">
        <f t="shared" si="25"/>
        <v>0.54213149711338449</v>
      </c>
      <c r="AJ27" s="30">
        <f t="shared" si="25"/>
        <v>0.39668221015024463</v>
      </c>
      <c r="AK27" s="30">
        <f t="shared" si="25"/>
        <v>9.4800916323051362E-2</v>
      </c>
      <c r="AL27" s="30">
        <f t="shared" si="25"/>
        <v>0</v>
      </c>
      <c r="AM27" s="30">
        <f t="shared" si="25"/>
        <v>0.21901452216390971</v>
      </c>
      <c r="AN27" s="30">
        <f t="shared" si="25"/>
        <v>2.0444139212504625E-2</v>
      </c>
      <c r="AO27" s="30">
        <f t="shared" si="25"/>
        <v>0.60313188931056538</v>
      </c>
      <c r="AP27" s="30">
        <f t="shared" si="25"/>
        <v>0.39355055239702019</v>
      </c>
      <c r="AQ27" s="3">
        <f t="shared" si="14"/>
        <v>299792458</v>
      </c>
    </row>
    <row r="28" spans="1:43" x14ac:dyDescent="0.25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6"/>
        <v>3.699999999999988E-4</v>
      </c>
      <c r="G28" s="31">
        <f t="shared" si="17"/>
        <v>672.30082786821572</v>
      </c>
      <c r="H28" s="31">
        <f t="shared" si="18"/>
        <v>8934.6895068093709</v>
      </c>
      <c r="K28">
        <f t="shared" si="19"/>
        <v>49220099380600.234</v>
      </c>
      <c r="L28">
        <f t="shared" si="20"/>
        <v>17027509707.72208</v>
      </c>
      <c r="M28">
        <f t="shared" si="21"/>
        <v>1442161759437.1948</v>
      </c>
      <c r="O28" s="31">
        <f t="shared" si="22"/>
        <v>297146340.60049045</v>
      </c>
      <c r="P28">
        <f t="shared" si="23"/>
        <v>7118938.7305795196</v>
      </c>
      <c r="Q28" s="31">
        <f t="shared" si="11"/>
        <v>11738123.314245939</v>
      </c>
      <c r="R28" s="2">
        <f t="shared" si="12"/>
        <v>3.9502836516596043E-2</v>
      </c>
      <c r="S28" s="2">
        <f t="shared" si="26"/>
        <v>-0.37170110597287598</v>
      </c>
      <c r="U28" s="20">
        <v>16</v>
      </c>
      <c r="V28" s="33">
        <f t="shared" si="13"/>
        <v>11738123.314245939</v>
      </c>
      <c r="W28" s="35">
        <f t="shared" si="0"/>
        <v>293507085.83868241</v>
      </c>
      <c r="X28" s="27">
        <f t="shared" si="24"/>
        <v>0.95979403502052718</v>
      </c>
      <c r="Y28" s="28">
        <f t="shared" si="24"/>
        <v>0.73968998721434709</v>
      </c>
      <c r="Z28" s="28">
        <f t="shared" si="24"/>
        <v>0.96363225732453994</v>
      </c>
      <c r="AA28" s="28">
        <f t="shared" si="24"/>
        <v>0.4689358575699577</v>
      </c>
      <c r="AB28" s="28">
        <f t="shared" si="24"/>
        <v>0.55521744500811854</v>
      </c>
      <c r="AC28" s="28">
        <f t="shared" si="24"/>
        <v>0.28955793801036556</v>
      </c>
      <c r="AD28" s="28">
        <f t="shared" si="24"/>
        <v>0.69178551150566947</v>
      </c>
      <c r="AE28" s="28">
        <f t="shared" si="24"/>
        <v>0.47791333680780868</v>
      </c>
      <c r="AF28" s="28">
        <f t="shared" si="24"/>
        <v>0.73605210437863955</v>
      </c>
      <c r="AG28" s="28">
        <f t="shared" si="24"/>
        <v>0.14721056963700457</v>
      </c>
      <c r="AH28" s="28">
        <f t="shared" si="25"/>
        <v>0.41431026959067696</v>
      </c>
      <c r="AI28" s="28">
        <f t="shared" si="25"/>
        <v>0.7633115624389073</v>
      </c>
      <c r="AJ28" s="28">
        <f t="shared" si="25"/>
        <v>0.61507399319221778</v>
      </c>
      <c r="AK28" s="28">
        <f t="shared" si="25"/>
        <v>0.31321878069286097</v>
      </c>
      <c r="AL28" s="28">
        <f t="shared" si="25"/>
        <v>0.21901452216390971</v>
      </c>
      <c r="AM28" s="28">
        <f t="shared" si="25"/>
        <v>0</v>
      </c>
      <c r="AN28" s="28">
        <f t="shared" si="25"/>
        <v>0.19925753409826669</v>
      </c>
      <c r="AO28" s="28">
        <f t="shared" si="25"/>
        <v>0.38444849725332286</v>
      </c>
      <c r="AP28" s="28">
        <f t="shared" si="25"/>
        <v>0.17336306385269237</v>
      </c>
      <c r="AQ28" s="3">
        <f t="shared" si="14"/>
        <v>299792458</v>
      </c>
    </row>
    <row r="29" spans="1:43" x14ac:dyDescent="0.25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6"/>
        <v>3.8000000000000013E-4</v>
      </c>
      <c r="G29" s="31">
        <f t="shared" si="17"/>
        <v>684.86719848257485</v>
      </c>
      <c r="H29" s="31">
        <f t="shared" si="18"/>
        <v>9066.6363982601433</v>
      </c>
      <c r="K29">
        <f t="shared" si="19"/>
        <v>48021850862891.695</v>
      </c>
      <c r="L29">
        <f t="shared" si="20"/>
        <v>16612980104.484676</v>
      </c>
      <c r="M29">
        <f t="shared" si="21"/>
        <v>1407052765097.7266</v>
      </c>
      <c r="O29" s="31">
        <f t="shared" si="22"/>
        <v>293507085.83868241</v>
      </c>
      <c r="P29">
        <f t="shared" si="23"/>
        <v>7031750.6076434413</v>
      </c>
      <c r="Q29" s="31">
        <f t="shared" si="11"/>
        <v>11685451.078105323</v>
      </c>
      <c r="R29" s="2">
        <f t="shared" si="12"/>
        <v>3.9813182174851781E-2</v>
      </c>
      <c r="S29" s="2">
        <f t="shared" si="26"/>
        <v>-0.89385595593868916</v>
      </c>
      <c r="U29" s="20">
        <v>17</v>
      </c>
      <c r="V29" s="33">
        <f t="shared" si="13"/>
        <v>11685451.078105323</v>
      </c>
      <c r="W29" s="35">
        <f t="shared" si="0"/>
        <v>296807390.40208662</v>
      </c>
      <c r="X29" s="29">
        <f t="shared" si="24"/>
        <v>0.76598181372720442</v>
      </c>
      <c r="Y29" s="30">
        <f t="shared" si="24"/>
        <v>0.93901214763843077</v>
      </c>
      <c r="Z29" s="30">
        <f t="shared" si="24"/>
        <v>0.76462289100693703</v>
      </c>
      <c r="AA29" s="30">
        <f t="shared" si="24"/>
        <v>0.27224052426744239</v>
      </c>
      <c r="AB29" s="30">
        <f t="shared" si="24"/>
        <v>0.7551930302459855</v>
      </c>
      <c r="AC29" s="30">
        <f t="shared" si="24"/>
        <v>8.9381560337646909E-2</v>
      </c>
      <c r="AD29" s="30">
        <f t="shared" si="24"/>
        <v>0.89245463817206527</v>
      </c>
      <c r="AE29" s="30">
        <f t="shared" si="24"/>
        <v>0.27789709161833903</v>
      </c>
      <c r="AF29" s="30">
        <f t="shared" si="24"/>
        <v>0.93642965275926271</v>
      </c>
      <c r="AG29" s="30">
        <f t="shared" si="24"/>
        <v>0.34874911468888564</v>
      </c>
      <c r="AH29" s="30">
        <f t="shared" si="25"/>
        <v>0.61525255909744248</v>
      </c>
      <c r="AI29" s="30">
        <f t="shared" si="25"/>
        <v>0.56450166279334313</v>
      </c>
      <c r="AJ29" s="30">
        <f t="shared" si="25"/>
        <v>0.41829865704495672</v>
      </c>
      <c r="AK29" s="30">
        <f t="shared" si="25"/>
        <v>0.11548409166137223</v>
      </c>
      <c r="AL29" s="30">
        <f t="shared" si="25"/>
        <v>2.0444139212504625E-2</v>
      </c>
      <c r="AM29" s="30">
        <f t="shared" si="25"/>
        <v>0.19925753409826669</v>
      </c>
      <c r="AN29" s="30">
        <f t="shared" si="25"/>
        <v>0</v>
      </c>
      <c r="AO29" s="30">
        <f t="shared" si="25"/>
        <v>0.58461190213907177</v>
      </c>
      <c r="AP29" s="30">
        <f t="shared" si="25"/>
        <v>0.37424646372441689</v>
      </c>
      <c r="AQ29" s="3">
        <f t="shared" si="14"/>
        <v>299792458</v>
      </c>
    </row>
    <row r="30" spans="1:43" x14ac:dyDescent="0.25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6"/>
        <v>3.5999999999999921E-4</v>
      </c>
      <c r="G30" s="31">
        <f t="shared" si="17"/>
        <v>904.77868423386042</v>
      </c>
      <c r="H30" s="31">
        <f t="shared" si="18"/>
        <v>8934.6895068093709</v>
      </c>
      <c r="K30">
        <f t="shared" si="19"/>
        <v>49107874223762.32</v>
      </c>
      <c r="L30">
        <f t="shared" si="20"/>
        <v>16988685833.500866</v>
      </c>
      <c r="M30">
        <f t="shared" si="21"/>
        <v>1438873533048.4797</v>
      </c>
      <c r="O30" s="31">
        <f t="shared" si="22"/>
        <v>296807390.40208662</v>
      </c>
      <c r="P30">
        <f t="shared" si="23"/>
        <v>7110818.2681491934</v>
      </c>
      <c r="Q30" s="31">
        <f t="shared" si="11"/>
        <v>11733200.191479869</v>
      </c>
      <c r="R30" s="2">
        <f t="shared" si="12"/>
        <v>3.9531361316794834E-2</v>
      </c>
      <c r="S30" s="2">
        <f t="shared" si="26"/>
        <v>-0.41979241844558335</v>
      </c>
      <c r="U30" s="20">
        <v>18</v>
      </c>
      <c r="V30" s="33">
        <f t="shared" si="13"/>
        <v>11733200.191479869</v>
      </c>
      <c r="W30" s="35">
        <f t="shared" si="0"/>
        <v>287126497.01610231</v>
      </c>
      <c r="X30" s="27">
        <f t="shared" si="24"/>
        <v>1.3379770606744144</v>
      </c>
      <c r="Y30" s="28">
        <f t="shared" si="24"/>
        <v>0.35841268338746607</v>
      </c>
      <c r="Z30" s="28">
        <f t="shared" si="24"/>
        <v>1.352050997756999</v>
      </c>
      <c r="AA30" s="28">
        <f t="shared" si="24"/>
        <v>0.85055078628828007</v>
      </c>
      <c r="AB30" s="28">
        <f t="shared" si="24"/>
        <v>0.17188887317198673</v>
      </c>
      <c r="AC30" s="28">
        <f t="shared" si="24"/>
        <v>0.67710324765002328</v>
      </c>
      <c r="AD30" s="28">
        <f t="shared" si="24"/>
        <v>0.30775107432840487</v>
      </c>
      <c r="AE30" s="28">
        <f t="shared" si="24"/>
        <v>0.86602287100479447</v>
      </c>
      <c r="AF30" s="28">
        <f t="shared" si="24"/>
        <v>0.3527652154929885</v>
      </c>
      <c r="AG30" s="28">
        <f t="shared" si="24"/>
        <v>0.2409415308936339</v>
      </c>
      <c r="AH30" s="28">
        <f t="shared" si="25"/>
        <v>2.8513610945952304E-2</v>
      </c>
      <c r="AI30" s="28">
        <f t="shared" si="25"/>
        <v>1.1503992363397564</v>
      </c>
      <c r="AJ30" s="28">
        <f t="shared" si="25"/>
        <v>0.99750538117094401</v>
      </c>
      <c r="AK30" s="28">
        <f t="shared" si="25"/>
        <v>0.69614686702501871</v>
      </c>
      <c r="AL30" s="28">
        <f t="shared" si="25"/>
        <v>0.60313188931056538</v>
      </c>
      <c r="AM30" s="28">
        <f t="shared" si="25"/>
        <v>0.38444849725332286</v>
      </c>
      <c r="AN30" s="28">
        <f t="shared" si="25"/>
        <v>0.58461190213907177</v>
      </c>
      <c r="AO30" s="28">
        <f t="shared" si="25"/>
        <v>0</v>
      </c>
      <c r="AP30" s="28">
        <f t="shared" si="25"/>
        <v>0.21341522708545363</v>
      </c>
      <c r="AQ30" s="3">
        <f t="shared" si="14"/>
        <v>299792458</v>
      </c>
    </row>
    <row r="31" spans="1:43" x14ac:dyDescent="0.25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6"/>
        <v>3.8000000000000013E-4</v>
      </c>
      <c r="G31" s="31">
        <f t="shared" si="17"/>
        <v>804.24771931898704</v>
      </c>
      <c r="H31" s="31">
        <f t="shared" si="18"/>
        <v>9003.8045451883463</v>
      </c>
      <c r="K31">
        <f t="shared" si="19"/>
        <v>45956638940149.164</v>
      </c>
      <c r="L31">
        <f t="shared" si="20"/>
        <v>15898527746.494078</v>
      </c>
      <c r="M31">
        <f t="shared" si="21"/>
        <v>1346541516693.2397</v>
      </c>
      <c r="O31" s="31">
        <f t="shared" si="22"/>
        <v>287126497.01610231</v>
      </c>
      <c r="P31">
        <f t="shared" si="23"/>
        <v>6878886.4639990171</v>
      </c>
      <c r="Q31" s="31">
        <f t="shared" si="11"/>
        <v>11594107.523879871</v>
      </c>
      <c r="R31" s="2">
        <f t="shared" si="12"/>
        <v>4.0379789550490923E-2</v>
      </c>
      <c r="S31" s="2">
        <f t="shared" si="26"/>
        <v>-1.8412807145728602</v>
      </c>
      <c r="U31" s="20">
        <v>19</v>
      </c>
      <c r="V31" s="33">
        <f t="shared" si="13"/>
        <v>11594107.523879871</v>
      </c>
      <c r="W31" s="35">
        <f t="shared" si="0"/>
        <v>290646821.88373274</v>
      </c>
      <c r="X31" s="29">
        <f t="shared" si="24"/>
        <v>1.1359175047902601</v>
      </c>
      <c r="Y31" s="30">
        <f t="shared" si="24"/>
        <v>0.57218378369226219</v>
      </c>
      <c r="Z31" s="30">
        <f t="shared" si="24"/>
        <v>1.1447604488235981</v>
      </c>
      <c r="AA31" s="30">
        <f t="shared" si="24"/>
        <v>0.643803176183257</v>
      </c>
      <c r="AB31" s="30">
        <f t="shared" si="24"/>
        <v>0.38571094219395685</v>
      </c>
      <c r="AC31" s="30">
        <f t="shared" si="24"/>
        <v>0.46611638198922262</v>
      </c>
      <c r="AD31" s="30">
        <f t="shared" si="24"/>
        <v>0.52279597971456293</v>
      </c>
      <c r="AE31" s="30">
        <f t="shared" si="24"/>
        <v>0.65589656819176223</v>
      </c>
      <c r="AF31" s="30">
        <f t="shared" si="24"/>
        <v>0.56765417525865669</v>
      </c>
      <c r="AG31" s="30">
        <f t="shared" si="24"/>
        <v>2.6933497411452026E-2</v>
      </c>
      <c r="AH31" s="30">
        <f t="shared" si="25"/>
        <v>0.24286062159030564</v>
      </c>
      <c r="AI31" s="30">
        <f t="shared" si="25"/>
        <v>0.94256315092881859</v>
      </c>
      <c r="AJ31" s="30">
        <f t="shared" si="25"/>
        <v>0.79120072479746317</v>
      </c>
      <c r="AK31" s="30">
        <f t="shared" si="25"/>
        <v>0.48776968682317379</v>
      </c>
      <c r="AL31" s="30">
        <f t="shared" si="25"/>
        <v>0.39355055239702019</v>
      </c>
      <c r="AM31" s="30">
        <f t="shared" si="25"/>
        <v>0.17336306385269237</v>
      </c>
      <c r="AN31" s="30">
        <f t="shared" si="25"/>
        <v>0.37424646372441689</v>
      </c>
      <c r="AO31" s="30">
        <f t="shared" si="25"/>
        <v>0.21341522708545363</v>
      </c>
      <c r="AP31" s="30">
        <f t="shared" si="25"/>
        <v>0</v>
      </c>
      <c r="AQ31" s="3">
        <f t="shared" si="14"/>
        <v>299792458</v>
      </c>
    </row>
    <row r="32" spans="1:43" x14ac:dyDescent="0.25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6"/>
        <v>3.8000000000000013E-4</v>
      </c>
      <c r="G32" s="31">
        <f t="shared" si="17"/>
        <v>747.69905155437073</v>
      </c>
      <c r="H32" s="31">
        <f t="shared" si="18"/>
        <v>9047.7868423386044</v>
      </c>
      <c r="K32">
        <f t="shared" si="19"/>
        <v>47090453265663.648</v>
      </c>
      <c r="L32">
        <f t="shared" si="20"/>
        <v>16290766581.388863</v>
      </c>
      <c r="M32">
        <f t="shared" si="21"/>
        <v>1379762572382.6062</v>
      </c>
      <c r="O32" s="31">
        <f t="shared" si="22"/>
        <v>290646821.88373274</v>
      </c>
      <c r="P32">
        <f t="shared" si="23"/>
        <v>6963225.3018718017</v>
      </c>
      <c r="Q32" s="31">
        <f t="shared" si="11"/>
        <v>11644344.416725511</v>
      </c>
      <c r="R32" s="2">
        <f t="shared" si="12"/>
        <v>4.0063553219871748E-2</v>
      </c>
      <c r="S32" s="2">
        <f t="shared" si="26"/>
        <v>-1.3134195318667634</v>
      </c>
    </row>
    <row r="33" spans="1:19" x14ac:dyDescent="0.25">
      <c r="R33" s="2"/>
      <c r="S33" s="2"/>
    </row>
    <row r="34" spans="1:19" x14ac:dyDescent="0.25">
      <c r="R34" s="2"/>
      <c r="S34" s="2"/>
    </row>
    <row r="35" spans="1:19" x14ac:dyDescent="0.25">
      <c r="R35" s="2"/>
      <c r="S35" s="2"/>
    </row>
    <row r="36" spans="1:19" x14ac:dyDescent="0.25">
      <c r="N36" t="s">
        <v>41</v>
      </c>
      <c r="O36" t="s">
        <v>42</v>
      </c>
      <c r="P36" t="s">
        <v>62</v>
      </c>
      <c r="Q36" t="s">
        <v>56</v>
      </c>
      <c r="R36" s="2"/>
      <c r="S36" s="2"/>
    </row>
    <row r="37" spans="1:19" x14ac:dyDescent="0.25">
      <c r="N37">
        <f>AVERAGE(O14:O32)</f>
        <v>294752665.12096059</v>
      </c>
      <c r="O37">
        <f>_xlfn.STDEV.S(O14:O32)</f>
        <v>9332965.7821455095</v>
      </c>
      <c r="P37">
        <f>O37/SQRT(COUNT(P14:P32))</f>
        <v>2141129.1940997532</v>
      </c>
      <c r="Q37">
        <f>O37/N37</f>
        <v>3.1663719743858627E-2</v>
      </c>
      <c r="R37" s="2"/>
      <c r="S37" s="2"/>
    </row>
    <row r="38" spans="1:19" x14ac:dyDescent="0.25">
      <c r="A38" t="s">
        <v>45</v>
      </c>
      <c r="B38" t="s">
        <v>57</v>
      </c>
      <c r="C38" t="s">
        <v>40</v>
      </c>
      <c r="D38" t="s">
        <v>58</v>
      </c>
      <c r="R38" s="2"/>
      <c r="S38" s="2"/>
    </row>
    <row r="39" spans="1:19" x14ac:dyDescent="0.25">
      <c r="A39">
        <f>O13</f>
        <v>323789880.43863964</v>
      </c>
      <c r="B39">
        <f>P13</f>
        <v>7757256.2925263867</v>
      </c>
      <c r="C39">
        <f>1/B39^2</f>
        <v>1.6618189969622343E-14</v>
      </c>
      <c r="D39">
        <f>C39*A39</f>
        <v>5.3808017433706187E-6</v>
      </c>
      <c r="R39" s="2"/>
      <c r="S39" s="2"/>
    </row>
    <row r="40" spans="1:19" x14ac:dyDescent="0.25">
      <c r="A40">
        <f t="shared" ref="A40:B40" si="27">O14</f>
        <v>309712059.55000132</v>
      </c>
      <c r="B40">
        <f t="shared" si="27"/>
        <v>7419984.2798078051</v>
      </c>
      <c r="C40">
        <f t="shared" ref="C40:C58" si="28">1/B40^2</f>
        <v>1.8163269615558514E-14</v>
      </c>
      <c r="D40">
        <f t="shared" ref="D40:D58" si="29">C40*A40</f>
        <v>5.6253836407965882E-6</v>
      </c>
      <c r="R40" s="2"/>
      <c r="S40" s="2"/>
    </row>
    <row r="41" spans="1:19" x14ac:dyDescent="0.25">
      <c r="A41">
        <f t="shared" ref="A41:B41" si="30">O15</f>
        <v>281130943.72591871</v>
      </c>
      <c r="B41">
        <f t="shared" si="30"/>
        <v>6735246.8807469159</v>
      </c>
      <c r="C41">
        <f t="shared" si="28"/>
        <v>2.2044129879485247E-14</v>
      </c>
      <c r="D41">
        <f t="shared" si="29"/>
        <v>6.1972870366364105E-6</v>
      </c>
      <c r="R41" s="2"/>
      <c r="S41" s="2"/>
    </row>
    <row r="42" spans="1:19" x14ac:dyDescent="0.25">
      <c r="A42">
        <f t="shared" ref="A42:B42" si="31">O16</f>
        <v>309348547.74302012</v>
      </c>
      <c r="B42">
        <f t="shared" si="31"/>
        <v>7411275.3780709971</v>
      </c>
      <c r="C42">
        <f t="shared" si="28"/>
        <v>1.8205981581097223E-14</v>
      </c>
      <c r="D42">
        <f t="shared" si="29"/>
        <v>5.6319939623485993E-6</v>
      </c>
      <c r="R42" s="2"/>
      <c r="S42" s="2"/>
    </row>
    <row r="43" spans="1:19" x14ac:dyDescent="0.25">
      <c r="A43">
        <f t="shared" ref="A43:B43" si="32">O17</f>
        <v>301351287.98938149</v>
      </c>
      <c r="B43">
        <f t="shared" si="32"/>
        <v>7219679.5398599962</v>
      </c>
      <c r="C43">
        <f t="shared" si="28"/>
        <v>1.9185104013020452E-14</v>
      </c>
      <c r="D43">
        <f t="shared" si="29"/>
        <v>5.7814558045339643E-6</v>
      </c>
    </row>
    <row r="44" spans="1:19" x14ac:dyDescent="0.25">
      <c r="A44">
        <f t="shared" ref="A44:B44" si="33">O18</f>
        <v>284266233.06115103</v>
      </c>
      <c r="B44">
        <f t="shared" si="33"/>
        <v>6810361.1582273412</v>
      </c>
      <c r="C44">
        <f t="shared" si="28"/>
        <v>2.1560543931247877E-14</v>
      </c>
      <c r="D44">
        <f t="shared" si="29"/>
        <v>6.1289346060852948E-6</v>
      </c>
    </row>
    <row r="45" spans="1:19" x14ac:dyDescent="0.25">
      <c r="A45">
        <f t="shared" ref="A45:B45" si="34">O19</f>
        <v>298276174.59516788</v>
      </c>
      <c r="B45">
        <f t="shared" si="34"/>
        <v>7146006.9386805501</v>
      </c>
      <c r="C45">
        <f t="shared" si="28"/>
        <v>1.9582725347802486E-14</v>
      </c>
      <c r="D45">
        <f t="shared" si="29"/>
        <v>5.8410604048903542E-6</v>
      </c>
    </row>
    <row r="46" spans="1:19" x14ac:dyDescent="0.25">
      <c r="A46">
        <f t="shared" ref="A46:B46" si="35">O20</f>
        <v>282015256.10252202</v>
      </c>
      <c r="B46">
        <f t="shared" si="35"/>
        <v>6756432.9590106085</v>
      </c>
      <c r="C46">
        <f t="shared" si="28"/>
        <v>2.1906099520805023E-14</v>
      </c>
      <c r="D46">
        <f t="shared" si="29"/>
        <v>6.1778542665671636E-6</v>
      </c>
    </row>
    <row r="47" spans="1:19" x14ac:dyDescent="0.25">
      <c r="A47">
        <f t="shared" ref="A47:B47" si="36">O21</f>
        <v>301367811.25333238</v>
      </c>
      <c r="B47">
        <f t="shared" si="36"/>
        <v>7220075.3990297839</v>
      </c>
      <c r="C47">
        <f t="shared" si="28"/>
        <v>1.9183000325529542E-14</v>
      </c>
      <c r="D47">
        <f t="shared" si="29"/>
        <v>5.7811388213768006E-6</v>
      </c>
    </row>
    <row r="48" spans="1:19" x14ac:dyDescent="0.25">
      <c r="A48">
        <f t="shared" ref="A48:B48" si="37">O22</f>
        <v>281256355.29932851</v>
      </c>
      <c r="B48">
        <f t="shared" si="37"/>
        <v>6738251.4518461451</v>
      </c>
      <c r="C48">
        <f t="shared" si="28"/>
        <v>2.2024475406983129E-14</v>
      </c>
      <c r="D48">
        <f t="shared" si="29"/>
        <v>6.1945236803477698E-6</v>
      </c>
    </row>
    <row r="49" spans="1:8" x14ac:dyDescent="0.25">
      <c r="A49">
        <f t="shared" ref="A49:B49" si="38">O23</f>
        <v>291086862.49218649</v>
      </c>
      <c r="B49">
        <f t="shared" si="38"/>
        <v>6973767.6566059003</v>
      </c>
      <c r="C49">
        <f t="shared" si="28"/>
        <v>2.0561985663752446E-14</v>
      </c>
      <c r="D49">
        <f t="shared" si="29"/>
        <v>5.9853238934710184E-6</v>
      </c>
    </row>
    <row r="50" spans="1:8" x14ac:dyDescent="0.25">
      <c r="A50">
        <f t="shared" ref="A50:B50" si="39">O24</f>
        <v>286655024.935615</v>
      </c>
      <c r="B50">
        <f t="shared" si="39"/>
        <v>6867591.0839267429</v>
      </c>
      <c r="C50">
        <f t="shared" si="28"/>
        <v>2.12026987923889E-14</v>
      </c>
      <c r="D50">
        <f t="shared" si="29"/>
        <v>6.077860151034574E-6</v>
      </c>
    </row>
    <row r="51" spans="1:8" x14ac:dyDescent="0.25">
      <c r="A51">
        <f t="shared" ref="A51:B51" si="40">O25</f>
        <v>306097136.58055419</v>
      </c>
      <c r="B51">
        <f t="shared" si="40"/>
        <v>7333379.0903134542</v>
      </c>
      <c r="C51">
        <f t="shared" si="28"/>
        <v>1.8594809273685119E-14</v>
      </c>
      <c r="D51">
        <f t="shared" si="29"/>
        <v>5.6918178739365493E-6</v>
      </c>
    </row>
    <row r="52" spans="1:8" x14ac:dyDescent="0.25">
      <c r="A52">
        <f t="shared" ref="A52:B52" si="41">O26</f>
        <v>303774700.03593844</v>
      </c>
      <c r="B52">
        <f t="shared" si="41"/>
        <v>7277738.8847724143</v>
      </c>
      <c r="C52">
        <f t="shared" si="28"/>
        <v>1.8880220441099172E-14</v>
      </c>
      <c r="D52">
        <f t="shared" si="29"/>
        <v>5.7353333011072949E-6</v>
      </c>
    </row>
    <row r="53" spans="1:8" x14ac:dyDescent="0.25">
      <c r="A53">
        <f t="shared" ref="A53:B53" si="42">O27</f>
        <v>298728108.19303924</v>
      </c>
      <c r="B53">
        <f t="shared" si="42"/>
        <v>7156834.2219209727</v>
      </c>
      <c r="C53">
        <f t="shared" si="28"/>
        <v>1.9523518351149911E-14</v>
      </c>
      <c r="D53">
        <f t="shared" si="29"/>
        <v>5.8322237023110979E-6</v>
      </c>
    </row>
    <row r="54" spans="1:8" x14ac:dyDescent="0.25">
      <c r="A54">
        <f t="shared" ref="A54:B54" si="43">O28</f>
        <v>297146340.60049045</v>
      </c>
      <c r="B54">
        <f t="shared" si="43"/>
        <v>7118938.7305795196</v>
      </c>
      <c r="C54">
        <f t="shared" si="28"/>
        <v>1.9731926525472825E-14</v>
      </c>
      <c r="D54">
        <f t="shared" si="29"/>
        <v>5.863269760042E-6</v>
      </c>
    </row>
    <row r="55" spans="1:8" x14ac:dyDescent="0.25">
      <c r="A55">
        <f t="shared" ref="A55:B55" si="44">O29</f>
        <v>293507085.83868241</v>
      </c>
      <c r="B55">
        <f t="shared" si="44"/>
        <v>7031750.6076434413</v>
      </c>
      <c r="C55">
        <f t="shared" si="28"/>
        <v>2.0224280553604462E-14</v>
      </c>
      <c r="D55">
        <f t="shared" si="29"/>
        <v>5.9359696484723805E-6</v>
      </c>
    </row>
    <row r="56" spans="1:8" x14ac:dyDescent="0.25">
      <c r="A56">
        <f t="shared" ref="A56:B56" si="45">O30</f>
        <v>296807390.40208662</v>
      </c>
      <c r="B56">
        <f t="shared" si="45"/>
        <v>7110818.2681491934</v>
      </c>
      <c r="C56">
        <f t="shared" si="28"/>
        <v>1.9777019467980277E-14</v>
      </c>
      <c r="D56">
        <f t="shared" si="29"/>
        <v>5.8699655382224891E-6</v>
      </c>
    </row>
    <row r="57" spans="1:8" x14ac:dyDescent="0.25">
      <c r="A57">
        <f t="shared" ref="A57:B57" si="46">O31</f>
        <v>287126497.01610231</v>
      </c>
      <c r="B57">
        <f t="shared" si="46"/>
        <v>6878886.4639990171</v>
      </c>
      <c r="C57">
        <f t="shared" si="28"/>
        <v>2.113312476613682E-14</v>
      </c>
      <c r="D57">
        <f t="shared" si="29"/>
        <v>6.0678800851051012E-6</v>
      </c>
    </row>
    <row r="58" spans="1:8" x14ac:dyDescent="0.25">
      <c r="A58">
        <f t="shared" ref="A58:B58" si="47">O32</f>
        <v>290646821.88373274</v>
      </c>
      <c r="B58">
        <f t="shared" si="47"/>
        <v>6963225.3018718017</v>
      </c>
      <c r="C58">
        <f t="shared" si="28"/>
        <v>2.0624294675512014E-14</v>
      </c>
      <c r="D58">
        <f t="shared" si="29"/>
        <v>5.9943857010311575E-6</v>
      </c>
    </row>
    <row r="59" spans="1:8" x14ac:dyDescent="0.25">
      <c r="C59">
        <f>SUM(C39:C58)</f>
        <v>3.9872739810193389E-13</v>
      </c>
      <c r="D59">
        <f>SUM(D39:D58)</f>
        <v>1.1779446362168724E-4</v>
      </c>
    </row>
    <row r="62" spans="1:8" x14ac:dyDescent="0.25">
      <c r="B62" t="s">
        <v>59</v>
      </c>
      <c r="C62" t="s">
        <v>60</v>
      </c>
      <c r="D62" t="s">
        <v>75</v>
      </c>
      <c r="E62" t="s">
        <v>61</v>
      </c>
      <c r="F62" t="s">
        <v>76</v>
      </c>
      <c r="G62" t="s">
        <v>63</v>
      </c>
      <c r="H62" t="s">
        <v>66</v>
      </c>
    </row>
    <row r="63" spans="1:8" x14ac:dyDescent="0.25">
      <c r="B63">
        <f>D59/C59</f>
        <v>295426058.46105742</v>
      </c>
      <c r="C63">
        <f>SQRT(1/C59)</f>
        <v>1583660.0479770694</v>
      </c>
      <c r="D63">
        <f>C63/B63</f>
        <v>5.360597017834921E-3</v>
      </c>
      <c r="E63">
        <f>P37</f>
        <v>2141129.1940997532</v>
      </c>
      <c r="F63">
        <f>E63/B63</f>
        <v>7.2475976061603699E-3</v>
      </c>
      <c r="G63">
        <f>SQRT(C63^2+E63^2)</f>
        <v>2663158.5332805468</v>
      </c>
      <c r="H63">
        <f>G63/B63</f>
        <v>9.0146365122750326E-3</v>
      </c>
    </row>
    <row r="65" spans="2:2" x14ac:dyDescent="0.25">
      <c r="B65" t="s">
        <v>37</v>
      </c>
    </row>
    <row r="66" spans="2:2" x14ac:dyDescent="0.25">
      <c r="B66">
        <f>(B63-B10)/G63</f>
        <v>-1.6395567460131384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topLeftCell="M9" zoomScale="70" zoomScaleNormal="70" workbookViewId="0">
      <selection activeCell="AN45" sqref="V27:AN45"/>
    </sheetView>
  </sheetViews>
  <sheetFormatPr defaultRowHeight="15" x14ac:dyDescent="0.2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8" width="9.140625" customWidth="1"/>
    <col min="9" max="9" width="11.42578125" customWidth="1"/>
    <col min="11" max="12" width="11.85546875" customWidth="1"/>
    <col min="13" max="13" width="14.42578125" bestFit="1" customWidth="1"/>
    <col min="14" max="14" width="9" customWidth="1"/>
    <col min="15" max="15" width="12.28515625" customWidth="1"/>
    <col min="16" max="16" width="15.5703125" bestFit="1" customWidth="1"/>
    <col min="17" max="17" width="15.85546875" customWidth="1"/>
    <col min="18" max="18" width="15.5703125" customWidth="1"/>
    <col min="20" max="21" width="9.28515625" customWidth="1"/>
    <col min="22" max="24" width="11.85546875" customWidth="1"/>
    <col min="25" max="25" width="12" customWidth="1"/>
    <col min="26" max="26" width="11.85546875" customWidth="1"/>
    <col min="27" max="27" width="9.85546875" customWidth="1"/>
    <col min="28" max="30" width="11.85546875" customWidth="1"/>
    <col min="31" max="44" width="9.140625" customWidth="1"/>
  </cols>
  <sheetData>
    <row r="1" spans="1:34" x14ac:dyDescent="0.25">
      <c r="A1" t="s">
        <v>0</v>
      </c>
      <c r="C1" t="s">
        <v>17</v>
      </c>
      <c r="E1" t="s">
        <v>39</v>
      </c>
    </row>
    <row r="2" spans="1:34" x14ac:dyDescent="0.25">
      <c r="A2" t="s">
        <v>1</v>
      </c>
      <c r="B2" s="1">
        <f>Sheet1!B8</f>
        <v>0.252</v>
      </c>
      <c r="C2" s="1">
        <f>Sheet1!C8</f>
        <v>1E-3</v>
      </c>
      <c r="E2" s="1"/>
    </row>
    <row r="3" spans="1:34" x14ac:dyDescent="0.2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34" x14ac:dyDescent="0.2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34" x14ac:dyDescent="0.25">
      <c r="A5" t="s">
        <v>4</v>
      </c>
      <c r="B5" s="1">
        <f>B4+B3</f>
        <v>13.914999999999999</v>
      </c>
      <c r="C5">
        <f>SQRT(C4^2+C3^2)</f>
        <v>0.31182687504447071</v>
      </c>
    </row>
    <row r="6" spans="1:34" x14ac:dyDescent="0.25">
      <c r="A6" t="s">
        <v>5</v>
      </c>
      <c r="B6" s="1">
        <f>B3^2</f>
        <v>180.36490000000001</v>
      </c>
      <c r="C6" s="1">
        <f>2*B3*C3</f>
        <v>8.3741192444340058</v>
      </c>
    </row>
    <row r="7" spans="1:34" x14ac:dyDescent="0.25">
      <c r="A7" t="s">
        <v>10</v>
      </c>
      <c r="B7">
        <v>0</v>
      </c>
    </row>
    <row r="8" spans="1:34" x14ac:dyDescent="0.25">
      <c r="A8" t="s">
        <v>11</v>
      </c>
      <c r="B8">
        <v>0</v>
      </c>
    </row>
    <row r="9" spans="1:34" x14ac:dyDescent="0.25">
      <c r="A9" t="s">
        <v>12</v>
      </c>
      <c r="B9" s="1">
        <f>0.00001*SQRT(2)</f>
        <v>1.4142135623730953E-5</v>
      </c>
      <c r="C9" s="1"/>
      <c r="E9" s="1"/>
    </row>
    <row r="10" spans="1:34" ht="15.75" thickBot="1" x14ac:dyDescent="0.3">
      <c r="A10" t="s">
        <v>0</v>
      </c>
      <c r="B10">
        <f>299792458/1.00027</f>
        <v>299711535.88531095</v>
      </c>
      <c r="V10" s="19"/>
      <c r="W10" s="9" t="s">
        <v>20</v>
      </c>
      <c r="X10" s="9">
        <f t="array" ref="X10:AG12">TRANSPOSE(U13:W22)</f>
        <v>1</v>
      </c>
      <c r="Y10" s="9">
        <v>2</v>
      </c>
      <c r="Z10" s="9">
        <v>3</v>
      </c>
      <c r="AA10" s="9">
        <v>4</v>
      </c>
      <c r="AB10" s="9">
        <v>5</v>
      </c>
      <c r="AC10" s="9">
        <v>6</v>
      </c>
      <c r="AD10" s="9">
        <v>7</v>
      </c>
      <c r="AE10" s="9">
        <v>8</v>
      </c>
      <c r="AF10" s="9">
        <v>9</v>
      </c>
      <c r="AG10" s="9">
        <v>10</v>
      </c>
    </row>
    <row r="11" spans="1:34" x14ac:dyDescent="0.25">
      <c r="I11" t="s">
        <v>14</v>
      </c>
      <c r="U11" s="7"/>
      <c r="V11" s="11" t="s">
        <v>18</v>
      </c>
      <c r="W11" s="12"/>
      <c r="X11" s="12">
        <v>15429706.37609799</v>
      </c>
      <c r="Y11" s="12">
        <v>15078886.460931618</v>
      </c>
      <c r="Z11" s="12">
        <v>15363939.393962273</v>
      </c>
      <c r="AA11" s="12">
        <v>15074894.723848991</v>
      </c>
      <c r="AB11" s="12">
        <v>15089764.072389781</v>
      </c>
      <c r="AC11" s="12">
        <v>15385451.709149985</v>
      </c>
      <c r="AD11" s="12">
        <v>15376031.808424059</v>
      </c>
      <c r="AE11" s="12">
        <v>15249612.179053027</v>
      </c>
      <c r="AF11" s="12">
        <v>15484100.652599996</v>
      </c>
      <c r="AG11" s="12">
        <v>15304581.901952254</v>
      </c>
    </row>
    <row r="12" spans="1:34" ht="15.75" thickBot="1" x14ac:dyDescent="0.3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43</v>
      </c>
      <c r="Q12" t="s">
        <v>44</v>
      </c>
      <c r="R12" t="s">
        <v>36</v>
      </c>
      <c r="S12" t="s">
        <v>37</v>
      </c>
      <c r="U12" s="8" t="s">
        <v>20</v>
      </c>
      <c r="V12" s="10"/>
      <c r="W12" s="4" t="s">
        <v>19</v>
      </c>
      <c r="X12" s="14">
        <v>319301847.21995014</v>
      </c>
      <c r="Y12" s="14">
        <v>288628374.74495649</v>
      </c>
      <c r="Z12" s="14">
        <v>313727999.51286864</v>
      </c>
      <c r="AA12" s="14">
        <v>288264862.9379729</v>
      </c>
      <c r="AB12" s="14">
        <v>289617126.8599506</v>
      </c>
      <c r="AC12" s="14">
        <v>315559406.61662453</v>
      </c>
      <c r="AD12" s="14">
        <v>314758458.75283343</v>
      </c>
      <c r="AE12" s="14">
        <v>303854326.43175352</v>
      </c>
      <c r="AF12" s="14">
        <v>323856945.45115757</v>
      </c>
      <c r="AG12" s="14">
        <v>308631910.18068045</v>
      </c>
      <c r="AH12" t="s">
        <v>45</v>
      </c>
    </row>
    <row r="13" spans="1:34" ht="15.75" thickTop="1" x14ac:dyDescent="0.25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56833522723140.805</v>
      </c>
      <c r="L13">
        <f>((4*$B$6*$B$2*(G13-H13)/(($B$5-$B$2)^2*F13))*$C$4)^2</f>
        <v>19661345102.31707</v>
      </c>
      <c r="M13">
        <f>((4*$B$6*$B$5*(H13-G13)/(($B$5-$B$2)^2*F13))*$C$2)^2</f>
        <v>1665237050653.4119</v>
      </c>
      <c r="O13">
        <f>4*$B$2*$B$6*ABS(H13-G13)/(($B$5-$B$2)*F13)</f>
        <v>319301847.21995014</v>
      </c>
      <c r="P13">
        <f>SQRT(K13+L13+M13)</f>
        <v>7649733.4018184282</v>
      </c>
      <c r="Q13">
        <f>SQRT(P13^2+$N$26^2)</f>
        <v>15429706.37609799</v>
      </c>
      <c r="R13" s="2">
        <f>Q13/O13</f>
        <v>4.8323260608853551E-2</v>
      </c>
      <c r="S13" s="2">
        <f>(O13-$B$10)/Q13</f>
        <v>1.2696490041434849</v>
      </c>
      <c r="U13" s="8">
        <v>1</v>
      </c>
      <c r="V13" s="10">
        <f>Q13</f>
        <v>15429706.37609799</v>
      </c>
      <c r="W13" s="18">
        <f t="shared" ref="W13:W22" si="0">O13</f>
        <v>319301847.21995014</v>
      </c>
      <c r="X13" s="15">
        <f t="shared" ref="X13:AG22" si="1">ABS(($W13-X$12)/SQRT($V13^2+X$11^2))</f>
        <v>0</v>
      </c>
      <c r="Y13" s="13">
        <f t="shared" si="1"/>
        <v>1.4217624962919193</v>
      </c>
      <c r="Z13" s="13">
        <f t="shared" si="1"/>
        <v>0.25598115608641997</v>
      </c>
      <c r="AA13" s="13">
        <f t="shared" si="1"/>
        <v>1.4387978761549387</v>
      </c>
      <c r="AB13" s="13">
        <f t="shared" si="1"/>
        <v>1.3754475275415488</v>
      </c>
      <c r="AC13" s="13">
        <f t="shared" si="1"/>
        <v>0.17175329054029753</v>
      </c>
      <c r="AD13" s="13">
        <f t="shared" si="1"/>
        <v>0.20857516212887978</v>
      </c>
      <c r="AE13" s="13">
        <f t="shared" si="1"/>
        <v>0.71206656602429763</v>
      </c>
      <c r="AF13" s="13">
        <f t="shared" si="1"/>
        <v>0.20838170201795322</v>
      </c>
      <c r="AG13" s="13">
        <f t="shared" si="1"/>
        <v>0.49096450470070058</v>
      </c>
      <c r="AH13">
        <f>$B$10</f>
        <v>299711535.88531095</v>
      </c>
    </row>
    <row r="14" spans="1:34" x14ac:dyDescent="0.25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2">ABS(E14-D14)</f>
        <v>2.299999999999993E-4</v>
      </c>
      <c r="G14">
        <f t="shared" ref="G14:H22" si="3">2*PI()*B14</f>
        <v>716.28312501847279</v>
      </c>
      <c r="H14">
        <f t="shared" si="3"/>
        <v>5705.132258919064</v>
      </c>
      <c r="K14">
        <f t="shared" ref="K14:K22" si="4">((4*$B$3*(2*$B$4+$B$3-2*$B$2)*$B$2*(H14-G14))/(($B$5-$B$2)^2*F14)*$C$3)^2</f>
        <v>46438668767346.867</v>
      </c>
      <c r="L14">
        <f t="shared" ref="L14:L22" si="5">((4*$B$6*$B$2*(G14-H14)/(($B$5-$B$2)^2*F14))*$C$4)^2</f>
        <v>16065284166.438559</v>
      </c>
      <c r="M14">
        <f t="shared" ref="M14:M22" si="6">((4*$B$6*$B$5*(H14-G14)/(($B$5-$B$2)^2*F14))*$C$2)^2</f>
        <v>1360665116451.0784</v>
      </c>
      <c r="O14">
        <f t="shared" ref="O14:O22" si="7">4*$B$2*$B$6*ABS(H14-G14)/(($B$5-$B$2)*F14)</f>
        <v>288628374.74495649</v>
      </c>
      <c r="P14">
        <f t="shared" ref="P14:P22" si="8">SQRT(K14+L14+M14)</f>
        <v>6914867.9790697657</v>
      </c>
      <c r="Q14">
        <f t="shared" ref="Q14:Q22" si="9">SQRT(P14^2+$N$26^2)</f>
        <v>15078886.460931618</v>
      </c>
      <c r="R14" s="2">
        <f t="shared" ref="R14:R22" si="10">Q14/O14</f>
        <v>5.2243257352143295E-2</v>
      </c>
      <c r="S14" s="2">
        <f t="shared" ref="S14:S22" si="11">(O14-$B$10)/Q14</f>
        <v>-0.73501191013475564</v>
      </c>
      <c r="U14" s="8">
        <v>2</v>
      </c>
      <c r="V14" s="10">
        <f t="shared" ref="V14:V22" si="12">Q14</f>
        <v>15078886.460931618</v>
      </c>
      <c r="W14" s="18">
        <f t="shared" si="0"/>
        <v>288628374.74495649</v>
      </c>
      <c r="X14" s="16">
        <f t="shared" si="1"/>
        <v>1.4217624962919193</v>
      </c>
      <c r="Y14" s="5">
        <f t="shared" si="1"/>
        <v>0</v>
      </c>
      <c r="Z14" s="5">
        <f t="shared" si="1"/>
        <v>1.1659454330455783</v>
      </c>
      <c r="AA14" s="5">
        <f t="shared" si="1"/>
        <v>1.7048718363517998E-2</v>
      </c>
      <c r="AB14" s="5">
        <f t="shared" si="1"/>
        <v>4.6349655527776694E-2</v>
      </c>
      <c r="AC14" s="5">
        <f t="shared" si="1"/>
        <v>1.2501273469697955</v>
      </c>
      <c r="AD14" s="5">
        <f t="shared" si="1"/>
        <v>1.2133265326031717</v>
      </c>
      <c r="AE14" s="5">
        <f t="shared" si="1"/>
        <v>0.70997270499238441</v>
      </c>
      <c r="AF14" s="5">
        <f t="shared" si="1"/>
        <v>1.62995665448322</v>
      </c>
      <c r="AG14" s="5">
        <f t="shared" si="1"/>
        <v>0.93104876380477031</v>
      </c>
      <c r="AH14">
        <f t="shared" ref="AH14:AH22" si="13">$B$10</f>
        <v>299711535.88531095</v>
      </c>
    </row>
    <row r="15" spans="1:34" x14ac:dyDescent="0.25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2"/>
        <v>2.1000000000000012E-4</v>
      </c>
      <c r="G15">
        <f t="shared" si="3"/>
        <v>797.96453401180747</v>
      </c>
      <c r="H15">
        <f t="shared" si="3"/>
        <v>5749.1145560693212</v>
      </c>
      <c r="K15">
        <f t="shared" si="4"/>
        <v>54866628525005.953</v>
      </c>
      <c r="L15">
        <f t="shared" si="5"/>
        <v>18980905394.265522</v>
      </c>
      <c r="M15">
        <f t="shared" si="6"/>
        <v>1607606537243.1326</v>
      </c>
      <c r="O15">
        <f t="shared" si="7"/>
        <v>313727999.51286864</v>
      </c>
      <c r="P15">
        <f t="shared" si="8"/>
        <v>7516196.9085198501</v>
      </c>
      <c r="Q15">
        <f t="shared" si="9"/>
        <v>15363939.393962273</v>
      </c>
      <c r="R15" s="2">
        <f t="shared" si="10"/>
        <v>4.8972165116974421E-2</v>
      </c>
      <c r="S15" s="2">
        <f t="shared" si="11"/>
        <v>0.91229620660088584</v>
      </c>
      <c r="U15" s="8">
        <v>3</v>
      </c>
      <c r="V15" s="10">
        <f t="shared" si="12"/>
        <v>15363939.393962273</v>
      </c>
      <c r="W15" s="18">
        <f t="shared" si="0"/>
        <v>313727999.51286864</v>
      </c>
      <c r="X15" s="17">
        <f t="shared" si="1"/>
        <v>0.25598115608641997</v>
      </c>
      <c r="Y15" s="6">
        <f t="shared" si="1"/>
        <v>1.1659454330455783</v>
      </c>
      <c r="Z15" s="6">
        <f t="shared" si="1"/>
        <v>0</v>
      </c>
      <c r="AA15" s="6">
        <f t="shared" si="1"/>
        <v>1.1829851789327992</v>
      </c>
      <c r="AB15" s="6">
        <f t="shared" si="1"/>
        <v>1.11961887771891</v>
      </c>
      <c r="AC15" s="6">
        <f t="shared" si="1"/>
        <v>8.4229314390179277E-2</v>
      </c>
      <c r="AD15" s="6">
        <f t="shared" si="1"/>
        <v>4.7406983899938526E-2</v>
      </c>
      <c r="AE15" s="6">
        <f t="shared" si="1"/>
        <v>0.45611777441556933</v>
      </c>
      <c r="AF15" s="6">
        <f t="shared" si="1"/>
        <v>0.46435313312421028</v>
      </c>
      <c r="AG15" s="6">
        <f t="shared" si="1"/>
        <v>0.23499486918801035</v>
      </c>
      <c r="AH15">
        <f t="shared" si="13"/>
        <v>299711535.88531095</v>
      </c>
    </row>
    <row r="16" spans="1:34" x14ac:dyDescent="0.25">
      <c r="A16">
        <v>4</v>
      </c>
      <c r="B16">
        <v>115</v>
      </c>
      <c r="C16">
        <v>908</v>
      </c>
      <c r="D16" s="1">
        <v>9.8799999999999999E-3</v>
      </c>
      <c r="E16" s="1">
        <v>9.6500000000000006E-3</v>
      </c>
      <c r="F16">
        <f t="shared" si="2"/>
        <v>2.299999999999993E-4</v>
      </c>
      <c r="G16">
        <f t="shared" si="3"/>
        <v>722.56631032565247</v>
      </c>
      <c r="H16">
        <f t="shared" si="3"/>
        <v>5705.132258919064</v>
      </c>
      <c r="K16">
        <f t="shared" si="4"/>
        <v>46321768451797.352</v>
      </c>
      <c r="L16">
        <f t="shared" si="5"/>
        <v>16024842938.507191</v>
      </c>
      <c r="M16">
        <f t="shared" si="6"/>
        <v>1357239906691.7891</v>
      </c>
      <c r="O16">
        <f t="shared" si="7"/>
        <v>288264862.9379729</v>
      </c>
      <c r="P16">
        <f t="shared" si="8"/>
        <v>6906159.0773329027</v>
      </c>
      <c r="Q16">
        <f>SQRT(P16^2+$N$26^2)</f>
        <v>15074894.723848991</v>
      </c>
      <c r="R16" s="2">
        <f t="shared" si="10"/>
        <v>5.2295290415234258E-2</v>
      </c>
      <c r="S16" s="2">
        <f t="shared" si="11"/>
        <v>-0.75932025775470413</v>
      </c>
      <c r="U16" s="8">
        <v>4</v>
      </c>
      <c r="V16" s="10">
        <f t="shared" si="12"/>
        <v>15074894.723848991</v>
      </c>
      <c r="W16" s="18">
        <f t="shared" si="0"/>
        <v>288264862.9379729</v>
      </c>
      <c r="X16" s="16">
        <f t="shared" si="1"/>
        <v>1.4387978761549387</v>
      </c>
      <c r="Y16" s="5">
        <f t="shared" si="1"/>
        <v>1.7048718363517998E-2</v>
      </c>
      <c r="Z16" s="5">
        <f t="shared" si="1"/>
        <v>1.1829851789327992</v>
      </c>
      <c r="AA16" s="5">
        <f t="shared" si="1"/>
        <v>0</v>
      </c>
      <c r="AB16" s="5">
        <f t="shared" si="1"/>
        <v>6.3398354973671883E-2</v>
      </c>
      <c r="AC16" s="5">
        <f t="shared" si="1"/>
        <v>1.267165752449426</v>
      </c>
      <c r="AD16" s="5">
        <f t="shared" si="1"/>
        <v>1.230365535655471</v>
      </c>
      <c r="AE16" s="5">
        <f t="shared" si="1"/>
        <v>0.72701807979887356</v>
      </c>
      <c r="AF16" s="5">
        <f t="shared" si="1"/>
        <v>1.6469878348676326</v>
      </c>
      <c r="AG16" s="5">
        <f t="shared" si="1"/>
        <v>0.94809175243778609</v>
      </c>
      <c r="AH16">
        <f t="shared" si="13"/>
        <v>299711535.88531095</v>
      </c>
    </row>
    <row r="17" spans="1:41" x14ac:dyDescent="0.25">
      <c r="A17">
        <v>5</v>
      </c>
      <c r="B17">
        <v>97</v>
      </c>
      <c r="C17">
        <v>963</v>
      </c>
      <c r="D17" s="1">
        <v>9.8700000000000003E-3</v>
      </c>
      <c r="E17" s="1">
        <v>9.6200000000000001E-3</v>
      </c>
      <c r="F17">
        <f t="shared" si="2"/>
        <v>2.5000000000000022E-4</v>
      </c>
      <c r="G17">
        <f t="shared" si="3"/>
        <v>609.46897479641984</v>
      </c>
      <c r="H17">
        <f t="shared" si="3"/>
        <v>6050.7074508139413</v>
      </c>
      <c r="K17">
        <f t="shared" si="4"/>
        <v>46757382959070.859</v>
      </c>
      <c r="L17">
        <f t="shared" si="5"/>
        <v>16175542151.730391</v>
      </c>
      <c r="M17">
        <f t="shared" si="6"/>
        <v>1370003525460.3748</v>
      </c>
      <c r="O17">
        <f t="shared" si="7"/>
        <v>289617126.8599506</v>
      </c>
      <c r="P17">
        <f t="shared" si="8"/>
        <v>6938556.191794008</v>
      </c>
      <c r="Q17">
        <f t="shared" si="9"/>
        <v>15089764.072389781</v>
      </c>
      <c r="R17" s="2">
        <f t="shared" si="10"/>
        <v>5.2102457599776893E-2</v>
      </c>
      <c r="S17" s="2">
        <f t="shared" si="11"/>
        <v>-0.66895737911704034</v>
      </c>
      <c r="U17" s="8">
        <v>5</v>
      </c>
      <c r="V17" s="10">
        <f t="shared" si="12"/>
        <v>15089764.072389781</v>
      </c>
      <c r="W17" s="18">
        <f t="shared" si="0"/>
        <v>289617126.8599506</v>
      </c>
      <c r="X17" s="17">
        <f t="shared" si="1"/>
        <v>1.3754475275415488</v>
      </c>
      <c r="Y17" s="6">
        <f t="shared" si="1"/>
        <v>4.6349655527776694E-2</v>
      </c>
      <c r="Z17" s="6">
        <f t="shared" si="1"/>
        <v>1.11961887771891</v>
      </c>
      <c r="AA17" s="6">
        <f t="shared" si="1"/>
        <v>6.3398354973671883E-2</v>
      </c>
      <c r="AB17" s="6">
        <f t="shared" si="1"/>
        <v>0</v>
      </c>
      <c r="AC17" s="6">
        <f t="shared" si="1"/>
        <v>1.2038043425456275</v>
      </c>
      <c r="AD17" s="6">
        <f t="shared" si="1"/>
        <v>1.1670019443261173</v>
      </c>
      <c r="AE17" s="6">
        <f t="shared" si="1"/>
        <v>0.66363135184462563</v>
      </c>
      <c r="AF17" s="6">
        <f t="shared" si="1"/>
        <v>1.583652872466901</v>
      </c>
      <c r="AG17" s="6">
        <f t="shared" si="1"/>
        <v>0.88471365278105496</v>
      </c>
      <c r="AH17">
        <f t="shared" si="13"/>
        <v>299711535.88531095</v>
      </c>
    </row>
    <row r="18" spans="1:41" x14ac:dyDescent="0.25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2"/>
        <v>3.4999999999999962E-4</v>
      </c>
      <c r="G18">
        <f t="shared" si="3"/>
        <v>496.37163926718733</v>
      </c>
      <c r="H18">
        <f t="shared" si="3"/>
        <v>8796.45943005142</v>
      </c>
      <c r="K18">
        <f t="shared" si="4"/>
        <v>55509073073974.289</v>
      </c>
      <c r="L18">
        <f t="shared" si="5"/>
        <v>19203156688.592312</v>
      </c>
      <c r="M18">
        <f t="shared" si="6"/>
        <v>1626430330220.8074</v>
      </c>
      <c r="O18">
        <f t="shared" si="7"/>
        <v>315559406.61662453</v>
      </c>
      <c r="P18">
        <f t="shared" si="8"/>
        <v>7560073.1848893957</v>
      </c>
      <c r="Q18">
        <f t="shared" si="9"/>
        <v>15385451.709149985</v>
      </c>
      <c r="R18" s="2">
        <f t="shared" si="10"/>
        <v>4.8756118139878124E-2</v>
      </c>
      <c r="S18" s="2">
        <f t="shared" si="11"/>
        <v>1.0300556025851741</v>
      </c>
      <c r="U18" s="8">
        <v>6</v>
      </c>
      <c r="V18" s="10">
        <f t="shared" si="12"/>
        <v>15385451.709149985</v>
      </c>
      <c r="W18" s="18">
        <f t="shared" si="0"/>
        <v>315559406.61662453</v>
      </c>
      <c r="X18" s="16">
        <f t="shared" si="1"/>
        <v>0.17175329054029753</v>
      </c>
      <c r="Y18" s="5">
        <f t="shared" si="1"/>
        <v>1.2501273469697955</v>
      </c>
      <c r="Z18" s="5">
        <f t="shared" si="1"/>
        <v>8.4229314390179277E-2</v>
      </c>
      <c r="AA18" s="5">
        <f t="shared" si="1"/>
        <v>1.267165752449426</v>
      </c>
      <c r="AB18" s="5">
        <f t="shared" si="1"/>
        <v>1.2038043425456275</v>
      </c>
      <c r="AC18" s="5">
        <f t="shared" si="1"/>
        <v>0</v>
      </c>
      <c r="AD18" s="5">
        <f t="shared" si="1"/>
        <v>3.6822387905028175E-2</v>
      </c>
      <c r="AE18" s="5">
        <f t="shared" si="1"/>
        <v>0.54033902055728644</v>
      </c>
      <c r="AF18" s="5">
        <f t="shared" si="1"/>
        <v>0.38012964680846462</v>
      </c>
      <c r="AG18" s="5">
        <f t="shared" si="1"/>
        <v>0.3192217227507439</v>
      </c>
      <c r="AH18">
        <f t="shared" si="13"/>
        <v>299711535.88531095</v>
      </c>
    </row>
    <row r="19" spans="1:41" x14ac:dyDescent="0.25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2"/>
        <v>3.4000000000000002E-4</v>
      </c>
      <c r="G19">
        <f t="shared" si="3"/>
        <v>722.56631032565247</v>
      </c>
      <c r="H19">
        <f t="shared" si="3"/>
        <v>8765.0435035155224</v>
      </c>
      <c r="K19">
        <f t="shared" si="4"/>
        <v>55227646192715.781</v>
      </c>
      <c r="L19">
        <f t="shared" si="5"/>
        <v>19105798109.212196</v>
      </c>
      <c r="M19">
        <f t="shared" si="6"/>
        <v>1618184449141.001</v>
      </c>
      <c r="O19">
        <f t="shared" si="7"/>
        <v>314758458.75283343</v>
      </c>
      <c r="P19">
        <f t="shared" si="8"/>
        <v>7540884.3274490023</v>
      </c>
      <c r="Q19">
        <f t="shared" si="9"/>
        <v>15376031.808424059</v>
      </c>
      <c r="R19" s="2">
        <f t="shared" si="10"/>
        <v>4.8850257652640908E-2</v>
      </c>
      <c r="S19" s="2">
        <f t="shared" si="11"/>
        <v>0.97859597684226485</v>
      </c>
      <c r="U19" s="8">
        <v>7</v>
      </c>
      <c r="V19" s="10">
        <f t="shared" si="12"/>
        <v>15376031.808424059</v>
      </c>
      <c r="W19" s="18">
        <f t="shared" si="0"/>
        <v>314758458.75283343</v>
      </c>
      <c r="X19" s="17">
        <f t="shared" si="1"/>
        <v>0.20857516212887978</v>
      </c>
      <c r="Y19" s="6">
        <f t="shared" si="1"/>
        <v>1.2133265326031717</v>
      </c>
      <c r="Z19" s="6">
        <f t="shared" si="1"/>
        <v>4.7406983899938526E-2</v>
      </c>
      <c r="AA19" s="6">
        <f t="shared" si="1"/>
        <v>1.230365535655471</v>
      </c>
      <c r="AB19" s="6">
        <f t="shared" si="1"/>
        <v>1.1670019443261173</v>
      </c>
      <c r="AC19" s="6">
        <f t="shared" si="1"/>
        <v>3.6822387905028175E-2</v>
      </c>
      <c r="AD19" s="6">
        <f t="shared" si="1"/>
        <v>0</v>
      </c>
      <c r="AE19" s="6">
        <f t="shared" si="1"/>
        <v>0.50352052811447123</v>
      </c>
      <c r="AF19" s="6">
        <f t="shared" si="1"/>
        <v>0.41694974595387835</v>
      </c>
      <c r="AG19" s="6">
        <f t="shared" si="1"/>
        <v>0.28240062823139928</v>
      </c>
      <c r="AH19">
        <f t="shared" si="13"/>
        <v>299711535.88531095</v>
      </c>
    </row>
    <row r="20" spans="1:41" x14ac:dyDescent="0.25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2"/>
        <v>3.4999999999999962E-4</v>
      </c>
      <c r="G20">
        <f t="shared" si="3"/>
        <v>709.99993971129322</v>
      </c>
      <c r="H20">
        <f t="shared" si="3"/>
        <v>8702.2116504437272</v>
      </c>
      <c r="K20">
        <f t="shared" si="4"/>
        <v>51467439497708.781</v>
      </c>
      <c r="L20">
        <f t="shared" si="5"/>
        <v>17804968634.911926</v>
      </c>
      <c r="M20">
        <f t="shared" si="6"/>
        <v>1508009411476.2822</v>
      </c>
      <c r="O20">
        <f t="shared" si="7"/>
        <v>303854326.43175352</v>
      </c>
      <c r="P20">
        <f t="shared" si="8"/>
        <v>7279646.5489623863</v>
      </c>
      <c r="Q20">
        <f t="shared" si="9"/>
        <v>15249612.179053027</v>
      </c>
      <c r="R20" s="2">
        <f t="shared" si="10"/>
        <v>5.018724715271787E-2</v>
      </c>
      <c r="S20" s="2">
        <f t="shared" si="11"/>
        <v>0.27166530517629389</v>
      </c>
      <c r="U20" s="8">
        <v>8</v>
      </c>
      <c r="V20" s="10">
        <f t="shared" si="12"/>
        <v>15249612.179053027</v>
      </c>
      <c r="W20" s="18">
        <f t="shared" si="0"/>
        <v>303854326.43175352</v>
      </c>
      <c r="X20" s="16">
        <f t="shared" si="1"/>
        <v>0.71206656602429763</v>
      </c>
      <c r="Y20" s="5">
        <f t="shared" si="1"/>
        <v>0.70997270499238441</v>
      </c>
      <c r="Z20" s="5">
        <f t="shared" si="1"/>
        <v>0.45611777441556933</v>
      </c>
      <c r="AA20" s="5">
        <f t="shared" si="1"/>
        <v>0.72701807979887356</v>
      </c>
      <c r="AB20" s="5">
        <f t="shared" si="1"/>
        <v>0.66363135184462563</v>
      </c>
      <c r="AC20" s="5">
        <f t="shared" si="1"/>
        <v>0.54033902055728644</v>
      </c>
      <c r="AD20" s="5">
        <f t="shared" si="1"/>
        <v>0.50352052811447123</v>
      </c>
      <c r="AE20" s="5">
        <f t="shared" si="1"/>
        <v>0</v>
      </c>
      <c r="AF20" s="5">
        <f t="shared" si="1"/>
        <v>0.9203948751819786</v>
      </c>
      <c r="AG20" s="5">
        <f t="shared" si="1"/>
        <v>0.22113209010599963</v>
      </c>
      <c r="AH20">
        <f t="shared" si="13"/>
        <v>299711535.88531095</v>
      </c>
    </row>
    <row r="21" spans="1:41" x14ac:dyDescent="0.25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2"/>
        <v>3.4000000000000002E-4</v>
      </c>
      <c r="G21">
        <f t="shared" si="3"/>
        <v>496.37163926718733</v>
      </c>
      <c r="H21">
        <f t="shared" si="3"/>
        <v>8771.3266888227026</v>
      </c>
      <c r="K21">
        <f t="shared" si="4"/>
        <v>58466641123753.305</v>
      </c>
      <c r="L21">
        <f t="shared" si="5"/>
        <v>20226316318.755718</v>
      </c>
      <c r="M21">
        <f t="shared" si="6"/>
        <v>1713087846073.0752</v>
      </c>
      <c r="O21">
        <f t="shared" si="7"/>
        <v>323856945.45115757</v>
      </c>
      <c r="P21">
        <f t="shared" si="8"/>
        <v>7758863.0150393257</v>
      </c>
      <c r="Q21">
        <f t="shared" si="9"/>
        <v>15484100.652599996</v>
      </c>
      <c r="R21" s="2">
        <f t="shared" si="10"/>
        <v>4.7811544171237258E-2</v>
      </c>
      <c r="S21" s="2">
        <f t="shared" si="11"/>
        <v>1.559367903087886</v>
      </c>
      <c r="U21" s="8">
        <v>9</v>
      </c>
      <c r="V21" s="10">
        <f t="shared" si="12"/>
        <v>15484100.652599996</v>
      </c>
      <c r="W21" s="18">
        <f t="shared" si="0"/>
        <v>323856945.45115757</v>
      </c>
      <c r="X21" s="17">
        <f t="shared" si="1"/>
        <v>0.20838170201795322</v>
      </c>
      <c r="Y21" s="6">
        <f t="shared" si="1"/>
        <v>1.62995665448322</v>
      </c>
      <c r="Z21" s="6">
        <f t="shared" si="1"/>
        <v>0.46435313312421028</v>
      </c>
      <c r="AA21" s="6">
        <f t="shared" si="1"/>
        <v>1.6469878348676326</v>
      </c>
      <c r="AB21" s="6">
        <f t="shared" si="1"/>
        <v>1.583652872466901</v>
      </c>
      <c r="AC21" s="6">
        <f t="shared" si="1"/>
        <v>0.38012964680846462</v>
      </c>
      <c r="AD21" s="6">
        <f t="shared" si="1"/>
        <v>0.41694974595387835</v>
      </c>
      <c r="AE21" s="6">
        <f t="shared" si="1"/>
        <v>0.9203948751819786</v>
      </c>
      <c r="AF21" s="6">
        <f t="shared" si="1"/>
        <v>0</v>
      </c>
      <c r="AG21" s="6">
        <f t="shared" si="1"/>
        <v>0.69931817766472015</v>
      </c>
      <c r="AH21">
        <f t="shared" si="13"/>
        <v>299711535.88531095</v>
      </c>
    </row>
    <row r="22" spans="1:41" x14ac:dyDescent="0.25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2"/>
        <v>3.4999999999999962E-4</v>
      </c>
      <c r="G22">
        <f t="shared" si="3"/>
        <v>584.33623356770147</v>
      </c>
      <c r="H22">
        <f t="shared" si="3"/>
        <v>8702.2116504437272</v>
      </c>
      <c r="K22">
        <f t="shared" si="4"/>
        <v>53098636281757.648</v>
      </c>
      <c r="L22">
        <f t="shared" si="5"/>
        <v>18369275075.271221</v>
      </c>
      <c r="M22">
        <f t="shared" si="6"/>
        <v>1555803903029.0442</v>
      </c>
      <c r="O22">
        <f t="shared" si="7"/>
        <v>308631910.18068045</v>
      </c>
      <c r="P22">
        <f t="shared" si="8"/>
        <v>7394106.4003611663</v>
      </c>
      <c r="Q22">
        <f t="shared" si="9"/>
        <v>15304581.901952254</v>
      </c>
      <c r="R22" s="2">
        <f t="shared" si="10"/>
        <v>4.9588462492399399E-2</v>
      </c>
      <c r="S22" s="2">
        <f t="shared" si="11"/>
        <v>0.5828564512586667</v>
      </c>
      <c r="U22" s="8">
        <v>10</v>
      </c>
      <c r="V22" s="10">
        <f t="shared" si="12"/>
        <v>15304581.901952254</v>
      </c>
      <c r="W22" s="18">
        <f t="shared" si="0"/>
        <v>308631910.18068045</v>
      </c>
      <c r="X22" s="16">
        <f t="shared" si="1"/>
        <v>0.49096450470070058</v>
      </c>
      <c r="Y22" s="5">
        <f t="shared" si="1"/>
        <v>0.93104876380477031</v>
      </c>
      <c r="Z22" s="5">
        <f t="shared" si="1"/>
        <v>0.23499486918801035</v>
      </c>
      <c r="AA22" s="5">
        <f t="shared" si="1"/>
        <v>0.94809175243778609</v>
      </c>
      <c r="AB22" s="5">
        <f t="shared" si="1"/>
        <v>0.88471365278105496</v>
      </c>
      <c r="AC22" s="5">
        <f t="shared" si="1"/>
        <v>0.3192217227507439</v>
      </c>
      <c r="AD22" s="5">
        <f t="shared" si="1"/>
        <v>0.28240062823139928</v>
      </c>
      <c r="AE22" s="5">
        <f t="shared" si="1"/>
        <v>0.22113209010599963</v>
      </c>
      <c r="AF22" s="5">
        <f t="shared" si="1"/>
        <v>0.69931817766472015</v>
      </c>
      <c r="AG22" s="5">
        <f t="shared" si="1"/>
        <v>0</v>
      </c>
      <c r="AH22">
        <f t="shared" si="13"/>
        <v>299711535.88531095</v>
      </c>
    </row>
    <row r="23" spans="1:41" x14ac:dyDescent="0.25">
      <c r="D23" s="1"/>
      <c r="E23" s="1"/>
      <c r="Q23" s="2"/>
      <c r="R23" s="2"/>
    </row>
    <row r="24" spans="1:41" x14ac:dyDescent="0.25">
      <c r="C24" s="1"/>
      <c r="D24" s="1"/>
      <c r="E24" s="1"/>
      <c r="Q24" s="2"/>
      <c r="R24" s="2"/>
    </row>
    <row r="25" spans="1:41" x14ac:dyDescent="0.25">
      <c r="D25" s="1"/>
      <c r="E25" s="1"/>
      <c r="M25" t="s">
        <v>41</v>
      </c>
      <c r="N25" t="s">
        <v>42</v>
      </c>
      <c r="O25" t="s">
        <v>52</v>
      </c>
      <c r="P25" t="s">
        <v>51</v>
      </c>
      <c r="Q25" s="2"/>
      <c r="R25" s="2"/>
    </row>
    <row r="26" spans="1:41" x14ac:dyDescent="0.25">
      <c r="D26" s="1"/>
      <c r="M26">
        <f>AVERAGE(O13:O22)</f>
        <v>306620125.87087476</v>
      </c>
      <c r="N26">
        <f>_xlfn.STDEV.S(O13:O22)</f>
        <v>13399903.646433525</v>
      </c>
      <c r="O26">
        <f>N26/SQRT(COUNT(O13:O22))</f>
        <v>4237421.5949525535</v>
      </c>
      <c r="P26">
        <f>N26/M26</f>
        <v>4.3701970339926587E-2</v>
      </c>
      <c r="Q26" s="2"/>
      <c r="R26" s="2"/>
      <c r="V26" t="s">
        <v>79</v>
      </c>
      <c r="W26" t="s">
        <v>80</v>
      </c>
      <c r="X26" t="s">
        <v>81</v>
      </c>
      <c r="Y26" t="s">
        <v>82</v>
      </c>
      <c r="Z26" t="s">
        <v>83</v>
      </c>
      <c r="AA26" t="s">
        <v>84</v>
      </c>
      <c r="AB26" t="s">
        <v>85</v>
      </c>
      <c r="AC26" t="s">
        <v>86</v>
      </c>
      <c r="AD26" t="s">
        <v>87</v>
      </c>
      <c r="AE26" t="s">
        <v>88</v>
      </c>
      <c r="AF26" t="s">
        <v>89</v>
      </c>
      <c r="AG26" t="s">
        <v>90</v>
      </c>
      <c r="AH26" t="s">
        <v>91</v>
      </c>
      <c r="AI26" t="s">
        <v>92</v>
      </c>
      <c r="AJ26" t="s">
        <v>93</v>
      </c>
      <c r="AK26" t="s">
        <v>94</v>
      </c>
      <c r="AL26" t="s">
        <v>95</v>
      </c>
      <c r="AM26" t="s">
        <v>96</v>
      </c>
      <c r="AN26" t="s">
        <v>97</v>
      </c>
      <c r="AO26" t="s">
        <v>102</v>
      </c>
    </row>
    <row r="27" spans="1:41" x14ac:dyDescent="0.25">
      <c r="A27" t="s">
        <v>45</v>
      </c>
      <c r="B27" t="s">
        <v>46</v>
      </c>
      <c r="C27" t="s">
        <v>40</v>
      </c>
      <c r="Q27" s="2"/>
      <c r="R27" s="2"/>
    </row>
    <row r="28" spans="1:41" x14ac:dyDescent="0.25">
      <c r="A28">
        <f>O13</f>
        <v>319301847.21995014</v>
      </c>
      <c r="B28">
        <f>P13</f>
        <v>7649733.4018184282</v>
      </c>
      <c r="C28">
        <f>1/B28^2</f>
        <v>1.7088636037671288E-14</v>
      </c>
      <c r="D28">
        <f>C28*A28</f>
        <v>5.4564330532978518E-6</v>
      </c>
      <c r="Q28" s="2"/>
      <c r="R28" s="2"/>
    </row>
    <row r="29" spans="1:41" x14ac:dyDescent="0.25">
      <c r="A29">
        <f t="shared" ref="A29:B36" si="14">O14</f>
        <v>288628374.74495649</v>
      </c>
      <c r="B29">
        <f t="shared" si="14"/>
        <v>6914867.9790697657</v>
      </c>
      <c r="C29">
        <f t="shared" ref="C29:C37" si="15">1/B29^2</f>
        <v>2.0913764548680906E-14</v>
      </c>
      <c r="D29">
        <f t="shared" ref="D29:D37" si="16">C29*A29</f>
        <v>6.0363058714844587E-6</v>
      </c>
      <c r="Q29" s="2"/>
      <c r="R29" s="2"/>
    </row>
    <row r="30" spans="1:41" x14ac:dyDescent="0.25">
      <c r="A30">
        <f t="shared" si="14"/>
        <v>313727999.51286864</v>
      </c>
      <c r="B30">
        <f t="shared" si="14"/>
        <v>7516196.9085198501</v>
      </c>
      <c r="C30">
        <f t="shared" si="15"/>
        <v>1.7701240456424943E-14</v>
      </c>
      <c r="D30">
        <f t="shared" si="16"/>
        <v>5.5533747572904551E-6</v>
      </c>
      <c r="Q30" s="2"/>
      <c r="R30" s="2"/>
    </row>
    <row r="31" spans="1:41" x14ac:dyDescent="0.25">
      <c r="A31">
        <f t="shared" si="14"/>
        <v>288264862.9379729</v>
      </c>
      <c r="B31">
        <f t="shared" si="14"/>
        <v>6906159.0773329027</v>
      </c>
      <c r="C31">
        <f t="shared" si="15"/>
        <v>2.0966543744225071E-14</v>
      </c>
      <c r="D31">
        <f t="shared" si="16"/>
        <v>6.0439178587120532E-6</v>
      </c>
      <c r="Q31" s="2"/>
      <c r="R31" s="2"/>
    </row>
    <row r="32" spans="1:41" x14ac:dyDescent="0.25">
      <c r="A32">
        <f t="shared" si="14"/>
        <v>289617126.8599506</v>
      </c>
      <c r="B32">
        <f t="shared" si="14"/>
        <v>6938556.191794008</v>
      </c>
      <c r="C32">
        <f t="shared" si="15"/>
        <v>2.0771209231376825E-14</v>
      </c>
      <c r="D32">
        <f t="shared" si="16"/>
        <v>6.0156979389982391E-6</v>
      </c>
      <c r="Q32" s="2"/>
      <c r="R32" s="2"/>
    </row>
    <row r="33" spans="1:20" x14ac:dyDescent="0.25">
      <c r="A33">
        <f t="shared" si="14"/>
        <v>315559406.61662453</v>
      </c>
      <c r="B33">
        <f t="shared" si="14"/>
        <v>7560073.1848893957</v>
      </c>
      <c r="C33">
        <f t="shared" si="15"/>
        <v>1.7496371868076277E-14</v>
      </c>
      <c r="D33">
        <f t="shared" si="16"/>
        <v>5.5211447246339529E-6</v>
      </c>
      <c r="Q33" s="2"/>
      <c r="R33" s="2"/>
    </row>
    <row r="34" spans="1:20" x14ac:dyDescent="0.25">
      <c r="A34">
        <f t="shared" si="14"/>
        <v>314758458.75283343</v>
      </c>
      <c r="B34">
        <f t="shared" si="14"/>
        <v>7540884.3274490023</v>
      </c>
      <c r="C34">
        <f t="shared" si="15"/>
        <v>1.758552919611068E-14</v>
      </c>
      <c r="D34">
        <f t="shared" si="16"/>
        <v>5.5351940661207516E-6</v>
      </c>
      <c r="Q34" s="2"/>
      <c r="R34" s="2"/>
    </row>
    <row r="35" spans="1:20" x14ac:dyDescent="0.25">
      <c r="A35">
        <f t="shared" si="14"/>
        <v>303854326.43175352</v>
      </c>
      <c r="B35">
        <f t="shared" si="14"/>
        <v>7279646.5489623863</v>
      </c>
      <c r="C35">
        <f t="shared" si="15"/>
        <v>1.8870326443920141E-14</v>
      </c>
      <c r="D35">
        <f t="shared" si="16"/>
        <v>5.7338303311646607E-6</v>
      </c>
      <c r="Q35" s="2"/>
      <c r="R35" s="2"/>
    </row>
    <row r="36" spans="1:20" x14ac:dyDescent="0.25">
      <c r="A36">
        <f t="shared" si="14"/>
        <v>323856945.45115757</v>
      </c>
      <c r="B36">
        <f t="shared" si="14"/>
        <v>7758863.0150393257</v>
      </c>
      <c r="C36">
        <f t="shared" si="15"/>
        <v>1.6611308019196276E-14</v>
      </c>
      <c r="D36">
        <f t="shared" si="16"/>
        <v>5.3796874750452247E-6</v>
      </c>
      <c r="Q36" s="2"/>
      <c r="R36" s="2"/>
    </row>
    <row r="37" spans="1:20" x14ac:dyDescent="0.25">
      <c r="A37">
        <f>O22</f>
        <v>308631910.18068045</v>
      </c>
      <c r="B37">
        <f>P22</f>
        <v>7394106.4003611663</v>
      </c>
      <c r="C37">
        <f t="shared" si="15"/>
        <v>1.8290627642505732E-14</v>
      </c>
      <c r="D37">
        <f t="shared" si="16"/>
        <v>5.6450713477101006E-6</v>
      </c>
      <c r="Q37" s="2"/>
      <c r="R37" s="2"/>
    </row>
    <row r="38" spans="1:20" x14ac:dyDescent="0.25">
      <c r="B38" t="s">
        <v>47</v>
      </c>
      <c r="C38">
        <f>SUM(C28:C37)</f>
        <v>1.8629555718818814E-13</v>
      </c>
      <c r="D38">
        <f>SUM(D28:D37)</f>
        <v>5.6920657424457745E-5</v>
      </c>
      <c r="Q38" s="2"/>
      <c r="R38" s="2"/>
    </row>
    <row r="39" spans="1:20" x14ac:dyDescent="0.25">
      <c r="Q39" s="2"/>
      <c r="R39" s="2"/>
    </row>
    <row r="40" spans="1:20" x14ac:dyDescent="0.25">
      <c r="A40" t="s">
        <v>48</v>
      </c>
      <c r="B40" t="s">
        <v>49</v>
      </c>
      <c r="C40" t="s">
        <v>77</v>
      </c>
      <c r="D40" t="s">
        <v>50</v>
      </c>
      <c r="E40" t="s">
        <v>78</v>
      </c>
      <c r="F40" t="s">
        <v>53</v>
      </c>
      <c r="G40" t="s">
        <v>54</v>
      </c>
      <c r="S40" s="2"/>
      <c r="T40" s="2"/>
    </row>
    <row r="41" spans="1:20" x14ac:dyDescent="0.25">
      <c r="A41">
        <f>D38/C38</f>
        <v>305539532.36232483</v>
      </c>
      <c r="B41">
        <f>SQRT(1/C38)</f>
        <v>2316854.4487546152</v>
      </c>
      <c r="C41">
        <f>B41/A41</f>
        <v>7.5828303815270864E-3</v>
      </c>
      <c r="D41">
        <f>O26</f>
        <v>4237421.5949525535</v>
      </c>
      <c r="E41">
        <f>D41/A41</f>
        <v>1.3868652485622045E-2</v>
      </c>
      <c r="F41">
        <f>(D41+B41)</f>
        <v>6554276.0437071687</v>
      </c>
      <c r="G41" s="2">
        <f>F41/A41</f>
        <v>2.1451482867149131E-2</v>
      </c>
      <c r="S41" s="2"/>
      <c r="T41" s="2"/>
    </row>
    <row r="42" spans="1:20" x14ac:dyDescent="0.25">
      <c r="Q42" s="2"/>
      <c r="R42" s="2"/>
    </row>
    <row r="43" spans="1:20" x14ac:dyDescent="0.25">
      <c r="A43" t="s">
        <v>37</v>
      </c>
    </row>
    <row r="44" spans="1:20" x14ac:dyDescent="0.25">
      <c r="A44">
        <f>ABS(A41-B10)/F41</f>
        <v>0.88918996364356795</v>
      </c>
    </row>
  </sheetData>
  <pageMargins left="0.7" right="0.7" top="0.75" bottom="0.75" header="0.3" footer="0.3"/>
  <pageSetup paperSize="9" orientation="portrait" horizontalDpi="360" verticalDpi="36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zoomScale="115" zoomScaleNormal="115" workbookViewId="0">
      <selection activeCell="T10" sqref="T10"/>
    </sheetView>
  </sheetViews>
  <sheetFormatPr defaultRowHeight="15" x14ac:dyDescent="0.25"/>
  <cols>
    <col min="1" max="1" width="14.5703125" customWidth="1"/>
    <col min="2" max="2" width="16.5703125" customWidth="1"/>
    <col min="3" max="3" width="13.7109375" customWidth="1"/>
    <col min="4" max="5" width="13.5703125" customWidth="1"/>
    <col min="6" max="6" width="15.7109375" bestFit="1" customWidth="1"/>
    <col min="7" max="8" width="9.140625" customWidth="1"/>
    <col min="9" max="9" width="11.42578125" customWidth="1"/>
    <col min="11" max="12" width="11.85546875" customWidth="1"/>
    <col min="13" max="13" width="12" customWidth="1"/>
    <col min="14" max="14" width="9" customWidth="1"/>
    <col min="15" max="15" width="12.28515625" customWidth="1"/>
    <col min="16" max="16" width="10" customWidth="1"/>
    <col min="17" max="18" width="15.85546875" customWidth="1"/>
    <col min="19" max="19" width="15.5703125" customWidth="1"/>
    <col min="21" max="22" width="9.28515625" customWidth="1"/>
    <col min="23" max="25" width="11.85546875" customWidth="1"/>
    <col min="26" max="26" width="12" customWidth="1"/>
    <col min="27" max="27" width="11.85546875" customWidth="1"/>
    <col min="28" max="28" width="9.85546875" customWidth="1"/>
    <col min="29" max="31" width="11.85546875" customWidth="1"/>
    <col min="32" max="45" width="9.140625" customWidth="1"/>
  </cols>
  <sheetData>
    <row r="1" spans="1:34" x14ac:dyDescent="0.25">
      <c r="A1" t="s">
        <v>0</v>
      </c>
      <c r="C1" t="s">
        <v>17</v>
      </c>
      <c r="E1" t="s">
        <v>101</v>
      </c>
    </row>
    <row r="2" spans="1:34" x14ac:dyDescent="0.25">
      <c r="A2" t="s">
        <v>1</v>
      </c>
      <c r="B2" s="1">
        <f>Sheet1!B8</f>
        <v>0.252</v>
      </c>
      <c r="C2" s="1">
        <f>Sheet1!C8</f>
        <v>1E-3</v>
      </c>
      <c r="E2" s="1"/>
    </row>
    <row r="3" spans="1:34" x14ac:dyDescent="0.25">
      <c r="A3" t="s">
        <v>2</v>
      </c>
      <c r="B3" s="1">
        <f>Sheet1!B6</f>
        <v>13.43</v>
      </c>
      <c r="C3" s="1">
        <f>Sheet1!C6</f>
        <v>0.31176914536239786</v>
      </c>
      <c r="E3" s="1"/>
    </row>
    <row r="4" spans="1:34" x14ac:dyDescent="0.25">
      <c r="A4" t="s">
        <v>3</v>
      </c>
      <c r="B4" s="1">
        <f>Sheet1!B7</f>
        <v>0.48499999999999999</v>
      </c>
      <c r="C4" s="1">
        <f>Sheet1!C7</f>
        <v>6.0000000000000001E-3</v>
      </c>
      <c r="E4" s="1"/>
    </row>
    <row r="5" spans="1:34" x14ac:dyDescent="0.25">
      <c r="A5" t="s">
        <v>4</v>
      </c>
      <c r="B5" s="1">
        <f>B4+B3</f>
        <v>13.914999999999999</v>
      </c>
      <c r="C5">
        <f>SQRT(C4^2+C3^2)</f>
        <v>0.31182687504447071</v>
      </c>
    </row>
    <row r="6" spans="1:34" x14ac:dyDescent="0.25">
      <c r="A6" t="s">
        <v>5</v>
      </c>
      <c r="B6" s="1">
        <f>B3^2</f>
        <v>180.36490000000001</v>
      </c>
      <c r="C6" s="1">
        <f>2*B3*C3</f>
        <v>8.3741192444340058</v>
      </c>
    </row>
    <row r="7" spans="1:34" x14ac:dyDescent="0.25">
      <c r="A7" t="s">
        <v>10</v>
      </c>
      <c r="B7">
        <v>0</v>
      </c>
    </row>
    <row r="8" spans="1:34" x14ac:dyDescent="0.25">
      <c r="A8" t="s">
        <v>11</v>
      </c>
      <c r="B8">
        <v>0</v>
      </c>
    </row>
    <row r="9" spans="1:34" x14ac:dyDescent="0.25">
      <c r="A9" t="s">
        <v>12</v>
      </c>
      <c r="B9" s="1">
        <f>0.00001*SQRT(2)</f>
        <v>1.4142135623730953E-5</v>
      </c>
      <c r="C9" s="1"/>
      <c r="E9" s="1"/>
    </row>
    <row r="10" spans="1:34" x14ac:dyDescent="0.25">
      <c r="A10" t="s">
        <v>15</v>
      </c>
      <c r="B10">
        <f>299792458/1.00027</f>
        <v>299711535.88531095</v>
      </c>
      <c r="W10" t="s">
        <v>20</v>
      </c>
      <c r="X10">
        <f t="array" ref="X10:AG12">TRANSPOSE(U13:W22)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</row>
    <row r="11" spans="1:34" x14ac:dyDescent="0.25">
      <c r="I11" t="s">
        <v>14</v>
      </c>
      <c r="V11" t="s">
        <v>18</v>
      </c>
      <c r="X11">
        <v>7062974.7793081347</v>
      </c>
      <c r="Y11">
        <v>7205767.9176049847</v>
      </c>
      <c r="Z11">
        <v>6974132.3292539474</v>
      </c>
      <c r="AA11">
        <v>6979562.6776864463</v>
      </c>
      <c r="AB11">
        <v>7104479.5105559006</v>
      </c>
      <c r="AC11">
        <v>7040711.609167438</v>
      </c>
      <c r="AD11">
        <v>7180350.8052648464</v>
      </c>
      <c r="AE11">
        <v>7122786.1614164999</v>
      </c>
      <c r="AF11">
        <v>7045719.22766612</v>
      </c>
      <c r="AG11">
        <v>7182902.4580030339</v>
      </c>
      <c r="AH11" t="s">
        <v>45</v>
      </c>
    </row>
    <row r="12" spans="1:34" x14ac:dyDescent="0.2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55</v>
      </c>
      <c r="R12" t="s">
        <v>36</v>
      </c>
      <c r="S12" t="s">
        <v>37</v>
      </c>
      <c r="U12" t="s">
        <v>20</v>
      </c>
      <c r="W12" t="s">
        <v>19</v>
      </c>
      <c r="X12">
        <v>294810390.82550448</v>
      </c>
      <c r="Y12">
        <v>300770613.28471857</v>
      </c>
      <c r="Z12">
        <v>291102084.02266806</v>
      </c>
      <c r="AA12">
        <v>291328748.16826212</v>
      </c>
      <c r="AB12">
        <v>296542809.02358556</v>
      </c>
      <c r="AC12">
        <v>293881120.35586876</v>
      </c>
      <c r="AD12">
        <v>299709696.453385</v>
      </c>
      <c r="AE12">
        <v>297306933.35696572</v>
      </c>
      <c r="AF12">
        <v>294090139.64488363</v>
      </c>
      <c r="AG12">
        <v>299816203.09746939</v>
      </c>
      <c r="AH12">
        <f>$B$10</f>
        <v>299711535.88531095</v>
      </c>
    </row>
    <row r="13" spans="1:34" x14ac:dyDescent="0.25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48449275469452.977</v>
      </c>
      <c r="L13">
        <f>((4*$B$6*$B$2*(G13-H13)/(($B$5-$B$2)^2*F13))*$C$4)^2</f>
        <v>16760846052.118465</v>
      </c>
      <c r="M13">
        <f>((4*$B$6*$B$5*(H13-G13)/(($B$5-$B$2)^2*F13))*$C$2)^2</f>
        <v>1419576417637.6917</v>
      </c>
      <c r="O13">
        <f>4*$B$2*$B$6*ABS(H13-G13)/(($B$5-$B$2)*F13)</f>
        <v>294810390.82550448</v>
      </c>
      <c r="P13">
        <f>SQRT(K13+L13+M13)</f>
        <v>7062974.7793081347</v>
      </c>
      <c r="Q13">
        <f>SQRT(P13^2+$P$26^2)</f>
        <v>7869622.8657712368</v>
      </c>
      <c r="R13" s="2">
        <f>Q13/O13</f>
        <v>2.6693844961622106E-2</v>
      </c>
      <c r="S13" s="2">
        <f>(O13-$B$10)/P13</f>
        <v>-0.69392079300141096</v>
      </c>
      <c r="U13">
        <v>1</v>
      </c>
      <c r="V13">
        <f>P13</f>
        <v>7062974.7793081347</v>
      </c>
      <c r="W13">
        <f>O13</f>
        <v>294810390.82550448</v>
      </c>
      <c r="X13">
        <f>ABS(($W13-X$12)/SQRT($V13^2+X$11^2))</f>
        <v>0</v>
      </c>
      <c r="Y13">
        <f t="shared" ref="Y13:AG22" si="0">ABS(($W13-Y$12)/SQRT($V13^2+Y$11^2))</f>
        <v>0.5907041405988136</v>
      </c>
      <c r="Z13">
        <f t="shared" si="0"/>
        <v>0.37359782885451254</v>
      </c>
      <c r="AA13">
        <f t="shared" si="0"/>
        <v>0.35062747166049713</v>
      </c>
      <c r="AB13">
        <f t="shared" si="0"/>
        <v>0.17293147716033158</v>
      </c>
      <c r="AC13">
        <f t="shared" si="0"/>
        <v>9.3180267041381784E-2</v>
      </c>
      <c r="AD13">
        <f t="shared" si="0"/>
        <v>0.48643339450267137</v>
      </c>
      <c r="AE13">
        <f t="shared" si="0"/>
        <v>0.24888428190697301</v>
      </c>
      <c r="AF13">
        <f t="shared" si="0"/>
        <v>7.2195784076498695E-2</v>
      </c>
      <c r="AG13">
        <f t="shared" si="0"/>
        <v>0.49691827661420324</v>
      </c>
      <c r="AH13">
        <f t="shared" ref="AH13:AH22" si="1">$B$10</f>
        <v>299711535.88531095</v>
      </c>
    </row>
    <row r="14" spans="1:34" x14ac:dyDescent="0.25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2">ABS(E14-D14)</f>
        <v>7.6999999999999985E-4</v>
      </c>
      <c r="G14">
        <f t="shared" ref="G14:H22" si="3">2*PI()*B14</f>
        <v>-8721.0612063652661</v>
      </c>
      <c r="H14">
        <f t="shared" si="3"/>
        <v>8683.3620945221883</v>
      </c>
      <c r="K14">
        <f t="shared" ref="K14:K22" si="4">((4*$B$3*(2*$B$4+$B$3-2*$B$2)*$B$2*(H14-G14))/(($B$5-$B$2)^2*F14)*$C$3)^2</f>
        <v>50428089682348.617</v>
      </c>
      <c r="L14">
        <f t="shared" ref="L14:L22" si="5">((4*$B$6*$B$2*(G14-H14)/(($B$5-$B$2)^2*F14))*$C$4)^2</f>
        <v>17445409444.794987</v>
      </c>
      <c r="M14">
        <f t="shared" ref="M14:M22" si="6">((4*$B$6*$B$5*(H14-G14)/(($B$5-$B$2)^2*F14))*$C$2)^2</f>
        <v>1477556190591.8625</v>
      </c>
      <c r="O14">
        <f t="shared" ref="O14:O22" si="7">4*$B$2*$B$6*ABS(H14-G14)/(($B$5-$B$2)*F14)</f>
        <v>300770613.28471857</v>
      </c>
      <c r="P14">
        <f t="shared" ref="P14:P22" si="8">SQRT(K14+L14+M14)</f>
        <v>7205767.9176049847</v>
      </c>
      <c r="Q14">
        <f t="shared" ref="Q14:Q22" si="9">SQRT(P14^2+$P$26^2)</f>
        <v>7998027.419227317</v>
      </c>
      <c r="R14" s="2">
        <f t="shared" ref="R14:R22" si="10">Q14/O14</f>
        <v>2.6591784788682602E-2</v>
      </c>
      <c r="S14" s="2">
        <f>(O14-$B$10)/P14</f>
        <v>0.14697634055353198</v>
      </c>
      <c r="U14">
        <v>2</v>
      </c>
      <c r="V14" s="31">
        <f t="shared" ref="V14:V22" si="11">P14</f>
        <v>7205767.9176049847</v>
      </c>
      <c r="W14">
        <f t="shared" ref="W14:W22" si="12">O14</f>
        <v>300770613.28471857</v>
      </c>
      <c r="X14">
        <f t="shared" ref="X14:AG22" si="13">ABS(($W14-X$12)/SQRT($V14^2+X$11^2))</f>
        <v>0.5907041405988136</v>
      </c>
      <c r="Y14">
        <f t="shared" si="13"/>
        <v>0</v>
      </c>
      <c r="Z14">
        <f t="shared" si="13"/>
        <v>0.96414932273314979</v>
      </c>
      <c r="AA14">
        <f t="shared" si="13"/>
        <v>0.94119176170005858</v>
      </c>
      <c r="AB14">
        <f t="shared" si="13"/>
        <v>0.41780328332628969</v>
      </c>
      <c r="AC14">
        <f t="shared" si="13"/>
        <v>0.68385740282135854</v>
      </c>
      <c r="AD14">
        <f t="shared" si="13"/>
        <v>0.10429224578419272</v>
      </c>
      <c r="AE14">
        <f t="shared" si="13"/>
        <v>0.34185591645862712</v>
      </c>
      <c r="AF14">
        <f t="shared" si="13"/>
        <v>0.66287964322647008</v>
      </c>
      <c r="AG14">
        <f t="shared" si="13"/>
        <v>9.3805618682831174E-2</v>
      </c>
      <c r="AH14">
        <f t="shared" si="1"/>
        <v>299711535.88531095</v>
      </c>
    </row>
    <row r="15" spans="1:34" x14ac:dyDescent="0.25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2"/>
        <v>7.9499999999999883E-4</v>
      </c>
      <c r="G15">
        <f t="shared" si="3"/>
        <v>-8765.0435035155224</v>
      </c>
      <c r="H15">
        <f t="shared" si="3"/>
        <v>8626.8134267575715</v>
      </c>
      <c r="K15">
        <f t="shared" si="4"/>
        <v>47238091493475.242</v>
      </c>
      <c r="L15">
        <f t="shared" si="5"/>
        <v>16341841475.363649</v>
      </c>
      <c r="M15">
        <f t="shared" si="6"/>
        <v>1384088410994.4819</v>
      </c>
      <c r="O15">
        <f t="shared" si="7"/>
        <v>291102084.02266806</v>
      </c>
      <c r="P15">
        <f t="shared" si="8"/>
        <v>6974132.3292539474</v>
      </c>
      <c r="Q15">
        <f t="shared" si="9"/>
        <v>7789985.434021798</v>
      </c>
      <c r="R15" s="2">
        <f t="shared" si="10"/>
        <v>2.6760321761953424E-2</v>
      </c>
      <c r="S15" s="2">
        <f>(O15-$B$10)/P15</f>
        <v>-1.234483582499484</v>
      </c>
      <c r="U15">
        <v>3</v>
      </c>
      <c r="V15">
        <f t="shared" si="11"/>
        <v>6974132.3292539474</v>
      </c>
      <c r="W15">
        <f t="shared" si="12"/>
        <v>291102084.02266806</v>
      </c>
      <c r="X15">
        <f t="shared" si="13"/>
        <v>0.37359782885451254</v>
      </c>
      <c r="Y15">
        <f t="shared" si="0"/>
        <v>0.96414932273314979</v>
      </c>
      <c r="Z15">
        <f t="shared" si="0"/>
        <v>0</v>
      </c>
      <c r="AA15">
        <f t="shared" si="0"/>
        <v>2.2972516195115571E-2</v>
      </c>
      <c r="AB15">
        <f t="shared" si="0"/>
        <v>0.54650397449430543</v>
      </c>
      <c r="AC15">
        <f t="shared" si="0"/>
        <v>0.28042456570048097</v>
      </c>
      <c r="AD15">
        <f t="shared" si="0"/>
        <v>0.85991910912641767</v>
      </c>
      <c r="AE15">
        <f t="shared" si="0"/>
        <v>0.62244058796234025</v>
      </c>
      <c r="AF15">
        <f t="shared" si="0"/>
        <v>0.30140787742095648</v>
      </c>
      <c r="AG15">
        <f t="shared" si="0"/>
        <v>0.87040017887353105</v>
      </c>
      <c r="AH15">
        <f t="shared" si="1"/>
        <v>299711535.88531095</v>
      </c>
    </row>
    <row r="16" spans="1:34" x14ac:dyDescent="0.25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2"/>
        <v>8.0500000000000016E-4</v>
      </c>
      <c r="G16">
        <f t="shared" si="3"/>
        <v>-8859.291283123217</v>
      </c>
      <c r="H16">
        <f t="shared" si="3"/>
        <v>8765.0435035155224</v>
      </c>
      <c r="K16">
        <f t="shared" si="4"/>
        <v>47311683204173.461</v>
      </c>
      <c r="L16">
        <f t="shared" si="5"/>
        <v>16367300253.059978</v>
      </c>
      <c r="M16">
        <f t="shared" si="6"/>
        <v>1386244667327.0798</v>
      </c>
      <c r="O16">
        <f t="shared" si="7"/>
        <v>291328748.16826212</v>
      </c>
      <c r="P16">
        <f t="shared" si="8"/>
        <v>6979562.6776864463</v>
      </c>
      <c r="Q16">
        <f t="shared" si="9"/>
        <v>7794847.4319950799</v>
      </c>
      <c r="R16" s="2">
        <f t="shared" si="10"/>
        <v>2.6756190321090546E-2</v>
      </c>
      <c r="S16" s="2">
        <f t="shared" ref="S16:S22" si="14">(O16-$B$10)/P16</f>
        <v>-1.2010477022935071</v>
      </c>
      <c r="U16">
        <v>4</v>
      </c>
      <c r="V16">
        <f t="shared" si="11"/>
        <v>6979562.6776864463</v>
      </c>
      <c r="W16">
        <f t="shared" si="12"/>
        <v>291328748.16826212</v>
      </c>
      <c r="X16">
        <f t="shared" si="13"/>
        <v>0.35062747166049713</v>
      </c>
      <c r="Y16">
        <f t="shared" si="0"/>
        <v>0.94119176170005858</v>
      </c>
      <c r="Z16">
        <f t="shared" si="0"/>
        <v>2.2972516195115571E-2</v>
      </c>
      <c r="AA16">
        <f t="shared" si="0"/>
        <v>0</v>
      </c>
      <c r="AB16">
        <f t="shared" si="0"/>
        <v>0.52353617388695572</v>
      </c>
      <c r="AC16">
        <f t="shared" si="0"/>
        <v>0.25745323943029014</v>
      </c>
      <c r="AD16">
        <f t="shared" si="0"/>
        <v>0.83695845439806993</v>
      </c>
      <c r="AE16">
        <f t="shared" si="0"/>
        <v>0.59947422155930763</v>
      </c>
      <c r="AF16">
        <f t="shared" si="0"/>
        <v>0.27843674442838517</v>
      </c>
      <c r="AG16">
        <f t="shared" si="0"/>
        <v>0.84743981904962118</v>
      </c>
      <c r="AH16">
        <f t="shared" si="1"/>
        <v>299711535.88531095</v>
      </c>
    </row>
    <row r="17" spans="1:34" x14ac:dyDescent="0.25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2"/>
        <v>7.8999999999999904E-4</v>
      </c>
      <c r="G17">
        <f t="shared" si="3"/>
        <v>-8827.8753565873194</v>
      </c>
      <c r="H17">
        <f t="shared" si="3"/>
        <v>8777.6098741298811</v>
      </c>
      <c r="K17">
        <f t="shared" si="4"/>
        <v>49020361322634.156</v>
      </c>
      <c r="L17">
        <f t="shared" si="5"/>
        <v>16958411071.924536</v>
      </c>
      <c r="M17">
        <f t="shared" si="6"/>
        <v>1436309382202.5308</v>
      </c>
      <c r="O17">
        <f t="shared" si="7"/>
        <v>296542809.02358556</v>
      </c>
      <c r="P17">
        <f t="shared" si="8"/>
        <v>7104479.5105559006</v>
      </c>
      <c r="Q17">
        <f t="shared" si="9"/>
        <v>7906894.4872329812</v>
      </c>
      <c r="R17" s="2">
        <f t="shared" si="10"/>
        <v>2.6663585312581652E-2</v>
      </c>
      <c r="S17" s="2">
        <f t="shared" si="14"/>
        <v>-0.44601815756063012</v>
      </c>
      <c r="U17">
        <v>5</v>
      </c>
      <c r="V17">
        <f t="shared" si="11"/>
        <v>7104479.5105559006</v>
      </c>
      <c r="W17">
        <f t="shared" si="12"/>
        <v>296542809.02358556</v>
      </c>
      <c r="X17">
        <f t="shared" si="13"/>
        <v>0.17293147716033158</v>
      </c>
      <c r="Y17">
        <f t="shared" si="0"/>
        <v>0.41780328332628969</v>
      </c>
      <c r="Z17">
        <f t="shared" si="0"/>
        <v>0.54650397449430543</v>
      </c>
      <c r="AA17">
        <f t="shared" si="0"/>
        <v>0.52353617388695572</v>
      </c>
      <c r="AB17">
        <f t="shared" si="0"/>
        <v>0</v>
      </c>
      <c r="AC17">
        <f t="shared" si="0"/>
        <v>0.26610866771965069</v>
      </c>
      <c r="AD17">
        <f t="shared" si="0"/>
        <v>0.31352083884571663</v>
      </c>
      <c r="AE17">
        <f t="shared" si="0"/>
        <v>7.5955150197670615E-2</v>
      </c>
      <c r="AF17">
        <f t="shared" si="0"/>
        <v>0.24512506554550664</v>
      </c>
      <c r="AG17">
        <f t="shared" si="0"/>
        <v>0.32400677527020216</v>
      </c>
      <c r="AH17">
        <f t="shared" si="1"/>
        <v>299711535.88531095</v>
      </c>
    </row>
    <row r="18" spans="1:34" x14ac:dyDescent="0.25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2"/>
        <v>7.9999999999999863E-4</v>
      </c>
      <c r="G18">
        <f t="shared" si="3"/>
        <v>-8896.9903949662948</v>
      </c>
      <c r="H18">
        <f t="shared" si="3"/>
        <v>8771.3266888227026</v>
      </c>
      <c r="K18">
        <f t="shared" si="4"/>
        <v>48144323372845.328</v>
      </c>
      <c r="L18">
        <f t="shared" si="5"/>
        <v>16655349012.276579</v>
      </c>
      <c r="M18">
        <f t="shared" si="6"/>
        <v>1410641241607.5293</v>
      </c>
      <c r="O18">
        <f t="shared" si="7"/>
        <v>293881120.35586876</v>
      </c>
      <c r="P18">
        <f t="shared" si="8"/>
        <v>7040711.609167438</v>
      </c>
      <c r="Q18">
        <f t="shared" si="9"/>
        <v>7849647.8443170832</v>
      </c>
      <c r="R18" s="2">
        <f t="shared" si="10"/>
        <v>2.6710282834132824E-2</v>
      </c>
      <c r="S18" s="2">
        <f t="shared" si="14"/>
        <v>-0.82810031898631276</v>
      </c>
      <c r="U18">
        <v>6</v>
      </c>
      <c r="V18">
        <f t="shared" si="11"/>
        <v>7040711.609167438</v>
      </c>
      <c r="W18">
        <f t="shared" si="12"/>
        <v>293881120.35586876</v>
      </c>
      <c r="X18">
        <f t="shared" si="13"/>
        <v>9.3180267041381784E-2</v>
      </c>
      <c r="Y18">
        <f t="shared" si="0"/>
        <v>0.68385740282135854</v>
      </c>
      <c r="Z18">
        <f t="shared" si="0"/>
        <v>0.28042456570048097</v>
      </c>
      <c r="AA18">
        <f t="shared" si="0"/>
        <v>0.25745323943029014</v>
      </c>
      <c r="AB18">
        <f t="shared" si="0"/>
        <v>0.26610866771965069</v>
      </c>
      <c r="AC18">
        <f t="shared" si="0"/>
        <v>0</v>
      </c>
      <c r="AD18">
        <f t="shared" si="0"/>
        <v>0.57959481382076961</v>
      </c>
      <c r="AE18">
        <f t="shared" si="0"/>
        <v>0.34205885756394383</v>
      </c>
      <c r="AF18">
        <f t="shared" si="0"/>
        <v>2.0984584247658967E-2</v>
      </c>
      <c r="AG18">
        <f t="shared" si="0"/>
        <v>0.59007894141939632</v>
      </c>
      <c r="AH18">
        <f t="shared" si="1"/>
        <v>299711535.88531095</v>
      </c>
    </row>
    <row r="19" spans="1:34" x14ac:dyDescent="0.25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2"/>
        <v>7.8499999999999924E-4</v>
      </c>
      <c r="G19">
        <f t="shared" si="3"/>
        <v>-8922.1231361950122</v>
      </c>
      <c r="H19">
        <f t="shared" si="3"/>
        <v>8758.760318208344</v>
      </c>
      <c r="K19">
        <f t="shared" si="4"/>
        <v>50072964209998.641</v>
      </c>
      <c r="L19">
        <f t="shared" si="5"/>
        <v>17322555112.845333</v>
      </c>
      <c r="M19">
        <f t="shared" si="6"/>
        <v>1467150921556.0364</v>
      </c>
      <c r="O19">
        <f t="shared" si="7"/>
        <v>299709696.453385</v>
      </c>
      <c r="P19">
        <f t="shared" si="8"/>
        <v>7180350.8052648464</v>
      </c>
      <c r="Q19">
        <f t="shared" si="9"/>
        <v>7975135.6730148625</v>
      </c>
      <c r="R19" s="2">
        <f t="shared" si="10"/>
        <v>2.6609535051380181E-2</v>
      </c>
      <c r="S19" s="2">
        <f t="shared" si="14"/>
        <v>-2.5617577411450544E-4</v>
      </c>
      <c r="U19">
        <v>7</v>
      </c>
      <c r="V19">
        <f t="shared" si="11"/>
        <v>7180350.8052648464</v>
      </c>
      <c r="W19">
        <f t="shared" si="12"/>
        <v>299709696.453385</v>
      </c>
      <c r="X19">
        <f t="shared" si="13"/>
        <v>0.48643339450267137</v>
      </c>
      <c r="Y19">
        <f t="shared" si="0"/>
        <v>0.10429224578419272</v>
      </c>
      <c r="Z19">
        <f t="shared" si="0"/>
        <v>0.85991910912641767</v>
      </c>
      <c r="AA19">
        <f t="shared" si="0"/>
        <v>0.83695845439806993</v>
      </c>
      <c r="AB19">
        <f t="shared" si="0"/>
        <v>0.31352083884571663</v>
      </c>
      <c r="AC19">
        <f t="shared" si="0"/>
        <v>0.57959481382076961</v>
      </c>
      <c r="AD19">
        <f t="shared" si="0"/>
        <v>0</v>
      </c>
      <c r="AE19">
        <f t="shared" si="0"/>
        <v>0.23756974757303712</v>
      </c>
      <c r="AF19">
        <f t="shared" si="0"/>
        <v>0.55861510399529435</v>
      </c>
      <c r="AG19">
        <f t="shared" si="0"/>
        <v>1.0486700708352543E-2</v>
      </c>
      <c r="AH19">
        <f t="shared" si="1"/>
        <v>299711535.88531095</v>
      </c>
    </row>
    <row r="20" spans="1:34" x14ac:dyDescent="0.25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2"/>
        <v>7.9500000000000057E-4</v>
      </c>
      <c r="G20">
        <f t="shared" si="3"/>
        <v>-8972.3886186524487</v>
      </c>
      <c r="H20">
        <f t="shared" si="3"/>
        <v>8790.1762447442416</v>
      </c>
      <c r="K20">
        <f t="shared" si="4"/>
        <v>49273315768067.32</v>
      </c>
      <c r="L20">
        <f t="shared" si="5"/>
        <v>17045919718.38051</v>
      </c>
      <c r="M20">
        <f t="shared" si="6"/>
        <v>1443721013480.6904</v>
      </c>
      <c r="O20">
        <f t="shared" si="7"/>
        <v>297306933.35696572</v>
      </c>
      <c r="P20">
        <f t="shared" si="8"/>
        <v>7122786.1614164999</v>
      </c>
      <c r="Q20">
        <f t="shared" si="9"/>
        <v>7923347.399779533</v>
      </c>
      <c r="R20" s="2">
        <f t="shared" si="10"/>
        <v>2.6650395637649846E-2</v>
      </c>
      <c r="S20" s="2">
        <f t="shared" si="14"/>
        <v>-0.33759296907869363</v>
      </c>
      <c r="U20">
        <v>8</v>
      </c>
      <c r="V20">
        <f t="shared" si="11"/>
        <v>7122786.1614164999</v>
      </c>
      <c r="W20">
        <f t="shared" si="12"/>
        <v>297306933.35696572</v>
      </c>
      <c r="X20">
        <f t="shared" si="13"/>
        <v>0.24888428190697301</v>
      </c>
      <c r="Y20">
        <f t="shared" si="0"/>
        <v>0.34185591645862712</v>
      </c>
      <c r="Z20">
        <f t="shared" si="0"/>
        <v>0.62244058796234025</v>
      </c>
      <c r="AA20">
        <f t="shared" si="0"/>
        <v>0.59947422155930763</v>
      </c>
      <c r="AB20">
        <f t="shared" si="0"/>
        <v>7.5955150197670615E-2</v>
      </c>
      <c r="AC20">
        <f t="shared" si="0"/>
        <v>0.34205885756394383</v>
      </c>
      <c r="AD20">
        <f t="shared" si="0"/>
        <v>0.23756974757303712</v>
      </c>
      <c r="AE20">
        <f t="shared" si="0"/>
        <v>0</v>
      </c>
      <c r="AF20">
        <f t="shared" si="0"/>
        <v>0.3210759268151292</v>
      </c>
      <c r="AG20">
        <f t="shared" si="0"/>
        <v>0.24805600490054158</v>
      </c>
      <c r="AH20">
        <f t="shared" si="1"/>
        <v>299711535.88531095</v>
      </c>
    </row>
    <row r="21" spans="1:34" x14ac:dyDescent="0.25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2"/>
        <v>8.0000000000000036E-4</v>
      </c>
      <c r="G21">
        <f t="shared" si="3"/>
        <v>-8896.9903949662948</v>
      </c>
      <c r="H21">
        <f t="shared" si="3"/>
        <v>8783.8930594370613</v>
      </c>
      <c r="K21">
        <f t="shared" si="4"/>
        <v>48212831828603.633</v>
      </c>
      <c r="L21">
        <f t="shared" si="5"/>
        <v>16679049256.895451</v>
      </c>
      <c r="M21">
        <f t="shared" si="6"/>
        <v>1412648557243.5403</v>
      </c>
      <c r="O21">
        <f t="shared" si="7"/>
        <v>294090139.64488363</v>
      </c>
      <c r="P21">
        <f t="shared" si="8"/>
        <v>7045719.22766612</v>
      </c>
      <c r="Q21">
        <f t="shared" si="9"/>
        <v>7854139.7206460983</v>
      </c>
      <c r="R21" s="2">
        <f t="shared" si="10"/>
        <v>2.6706572787955556E-2</v>
      </c>
      <c r="S21" s="2">
        <f t="shared" si="14"/>
        <v>-0.7978456221125052</v>
      </c>
      <c r="U21">
        <v>9</v>
      </c>
      <c r="V21">
        <f t="shared" si="11"/>
        <v>7045719.22766612</v>
      </c>
      <c r="W21">
        <f t="shared" si="12"/>
        <v>294090139.64488363</v>
      </c>
      <c r="X21">
        <f t="shared" si="13"/>
        <v>7.2195784076498695E-2</v>
      </c>
      <c r="Y21">
        <f t="shared" si="0"/>
        <v>0.66287964322647008</v>
      </c>
      <c r="Z21">
        <f t="shared" si="0"/>
        <v>0.30140787742095648</v>
      </c>
      <c r="AA21">
        <f t="shared" si="0"/>
        <v>0.27843674442838517</v>
      </c>
      <c r="AB21">
        <f t="shared" si="0"/>
        <v>0.24512506554550664</v>
      </c>
      <c r="AC21">
        <f t="shared" si="0"/>
        <v>2.0984584247658967E-2</v>
      </c>
      <c r="AD21">
        <f t="shared" si="0"/>
        <v>0.55861510399529435</v>
      </c>
      <c r="AE21">
        <f t="shared" si="0"/>
        <v>0.3210759268151292</v>
      </c>
      <c r="AF21">
        <f t="shared" si="0"/>
        <v>0</v>
      </c>
      <c r="AG21">
        <f t="shared" si="0"/>
        <v>0.56909941289978561</v>
      </c>
      <c r="AH21">
        <f t="shared" si="1"/>
        <v>299711535.88531095</v>
      </c>
    </row>
    <row r="22" spans="1:34" x14ac:dyDescent="0.25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2"/>
        <v>7.8499999999999924E-4</v>
      </c>
      <c r="G22">
        <f t="shared" si="3"/>
        <v>-8922.1231361950122</v>
      </c>
      <c r="H22">
        <f t="shared" si="3"/>
        <v>8765.0435035155224</v>
      </c>
      <c r="K22">
        <f t="shared" si="4"/>
        <v>50108558994167.188</v>
      </c>
      <c r="L22">
        <f t="shared" si="5"/>
        <v>17334868995.600594</v>
      </c>
      <c r="M22">
        <f t="shared" si="6"/>
        <v>1468193858023.238</v>
      </c>
      <c r="O22">
        <f t="shared" si="7"/>
        <v>299816203.09746939</v>
      </c>
      <c r="P22">
        <f t="shared" si="8"/>
        <v>7182902.4580030339</v>
      </c>
      <c r="Q22">
        <f t="shared" si="9"/>
        <v>7977433.1108140741</v>
      </c>
      <c r="R22" s="2">
        <f t="shared" si="10"/>
        <v>2.660774510649324E-2</v>
      </c>
      <c r="S22" s="2">
        <f t="shared" si="14"/>
        <v>1.4571715649823925E-2</v>
      </c>
      <c r="U22">
        <v>10</v>
      </c>
      <c r="V22">
        <f t="shared" si="11"/>
        <v>7182902.4580030339</v>
      </c>
      <c r="W22">
        <f t="shared" si="12"/>
        <v>299816203.09746939</v>
      </c>
      <c r="X22">
        <f t="shared" si="13"/>
        <v>0.49691827661420324</v>
      </c>
      <c r="Y22">
        <f t="shared" si="0"/>
        <v>9.3805618682831174E-2</v>
      </c>
      <c r="Z22">
        <f t="shared" si="0"/>
        <v>0.87040017887353105</v>
      </c>
      <c r="AA22">
        <f t="shared" si="0"/>
        <v>0.84743981904962118</v>
      </c>
      <c r="AB22">
        <f t="shared" si="0"/>
        <v>0.32400677527020216</v>
      </c>
      <c r="AC22">
        <f t="shared" si="0"/>
        <v>0.59007894141939632</v>
      </c>
      <c r="AD22">
        <f t="shared" si="0"/>
        <v>1.0486700708352543E-2</v>
      </c>
      <c r="AE22">
        <f t="shared" si="0"/>
        <v>0.24805600490054158</v>
      </c>
      <c r="AF22">
        <f t="shared" si="0"/>
        <v>0.56909941289978561</v>
      </c>
      <c r="AG22">
        <f t="shared" si="0"/>
        <v>0</v>
      </c>
      <c r="AH22">
        <f t="shared" si="1"/>
        <v>299711535.88531095</v>
      </c>
    </row>
    <row r="23" spans="1:34" x14ac:dyDescent="0.25">
      <c r="D23" s="1"/>
      <c r="E23" s="1"/>
      <c r="Q23" s="2"/>
      <c r="R23" s="2"/>
      <c r="S23" s="2"/>
    </row>
    <row r="24" spans="1:34" x14ac:dyDescent="0.25">
      <c r="C24" s="1"/>
      <c r="D24" s="1"/>
      <c r="E24" s="1"/>
      <c r="Q24" s="2"/>
      <c r="R24" s="2"/>
      <c r="S24" s="2"/>
    </row>
    <row r="25" spans="1:34" x14ac:dyDescent="0.25">
      <c r="D25" s="1"/>
      <c r="E25" s="1"/>
      <c r="O25" t="s">
        <v>41</v>
      </c>
      <c r="P25" t="s">
        <v>64</v>
      </c>
      <c r="Q25" s="2" t="s">
        <v>62</v>
      </c>
      <c r="R25" s="2" t="s">
        <v>100</v>
      </c>
      <c r="S25" s="2"/>
    </row>
    <row r="26" spans="1:34" x14ac:dyDescent="0.25">
      <c r="D26" s="1"/>
      <c r="O26">
        <f>AVERAGE(O13:O22)</f>
        <v>295935873.82333112</v>
      </c>
      <c r="P26">
        <f>_xlfn.STDEV.S(O13:O22)</f>
        <v>3470641.3407793515</v>
      </c>
      <c r="Q26" s="2">
        <f>P26/SQRT(COUNT(O13:O22))</f>
        <v>1097513.1578403374</v>
      </c>
      <c r="R26" s="2">
        <f>P26/O26</f>
        <v>1.1727680378659559E-2</v>
      </c>
      <c r="S26" s="2"/>
    </row>
    <row r="27" spans="1:34" x14ac:dyDescent="0.25">
      <c r="B27" t="s">
        <v>45</v>
      </c>
      <c r="C27" t="s">
        <v>65</v>
      </c>
      <c r="D27" t="s">
        <v>40</v>
      </c>
      <c r="E27" t="s">
        <v>58</v>
      </c>
      <c r="Q27" s="2"/>
      <c r="R27" s="2"/>
      <c r="S27" s="2"/>
    </row>
    <row r="28" spans="1:34" x14ac:dyDescent="0.25">
      <c r="B28">
        <f t="shared" ref="B28:B37" si="15">O13</f>
        <v>294810390.82550448</v>
      </c>
      <c r="C28">
        <f t="shared" ref="C28:C37" si="16">P13</f>
        <v>7062974.7793081347</v>
      </c>
      <c r="D28">
        <f>1/C28^2</f>
        <v>2.0045859822337595E-14</v>
      </c>
      <c r="E28">
        <f>D28*B28</f>
        <v>5.9097277686566245E-6</v>
      </c>
      <c r="Q28" s="2"/>
      <c r="R28" s="2"/>
      <c r="S28" s="2"/>
    </row>
    <row r="29" spans="1:34" x14ac:dyDescent="0.25">
      <c r="B29">
        <f t="shared" si="15"/>
        <v>300770613.28471857</v>
      </c>
      <c r="C29">
        <f t="shared" si="16"/>
        <v>7205767.9176049847</v>
      </c>
      <c r="D29">
        <f t="shared" ref="D29:D37" si="17">1/C29^2</f>
        <v>1.925925393311947E-14</v>
      </c>
      <c r="E29">
        <f t="shared" ref="E29:E37" si="18">D29*B29</f>
        <v>5.792617616870471E-6</v>
      </c>
      <c r="Q29" s="2"/>
      <c r="R29" s="2"/>
      <c r="S29" s="2"/>
    </row>
    <row r="30" spans="1:34" x14ac:dyDescent="0.25">
      <c r="B30">
        <f t="shared" si="15"/>
        <v>291102084.02266806</v>
      </c>
      <c r="C30">
        <f t="shared" si="16"/>
        <v>6974132.3292539474</v>
      </c>
      <c r="D30">
        <f t="shared" si="17"/>
        <v>2.0559835375411434E-14</v>
      </c>
      <c r="E30">
        <f t="shared" si="18"/>
        <v>5.9850109249452427E-6</v>
      </c>
      <c r="Q30" s="2"/>
      <c r="R30" s="2"/>
      <c r="S30" s="2"/>
    </row>
    <row r="31" spans="1:34" x14ac:dyDescent="0.25">
      <c r="B31">
        <f t="shared" si="15"/>
        <v>291328748.16826212</v>
      </c>
      <c r="C31">
        <f t="shared" si="16"/>
        <v>6979562.6776864463</v>
      </c>
      <c r="D31">
        <f t="shared" si="17"/>
        <v>2.0527855252226621E-14</v>
      </c>
      <c r="E31">
        <f t="shared" si="18"/>
        <v>5.9803543732104664E-6</v>
      </c>
      <c r="Q31" s="2"/>
      <c r="R31" s="2"/>
      <c r="S31" s="2"/>
    </row>
    <row r="32" spans="1:34" x14ac:dyDescent="0.25">
      <c r="B32">
        <f t="shared" si="15"/>
        <v>296542809.02358556</v>
      </c>
      <c r="C32">
        <f t="shared" si="16"/>
        <v>7104479.5105559006</v>
      </c>
      <c r="D32">
        <f t="shared" si="17"/>
        <v>1.9812326110008471E-14</v>
      </c>
      <c r="E32">
        <f t="shared" si="18"/>
        <v>5.87520283795324E-6</v>
      </c>
      <c r="Q32" s="2"/>
      <c r="R32" s="2"/>
      <c r="S32" s="2"/>
    </row>
    <row r="33" spans="2:21" x14ac:dyDescent="0.25">
      <c r="B33">
        <f t="shared" si="15"/>
        <v>293881120.35586876</v>
      </c>
      <c r="C33">
        <f t="shared" si="16"/>
        <v>7040711.609167438</v>
      </c>
      <c r="D33">
        <f t="shared" si="17"/>
        <v>2.017283277683908E-14</v>
      </c>
      <c r="E33">
        <f t="shared" si="18"/>
        <v>5.9284146972090597E-6</v>
      </c>
      <c r="Q33" s="2"/>
      <c r="R33" s="2"/>
      <c r="S33" s="2"/>
    </row>
    <row r="34" spans="2:21" x14ac:dyDescent="0.25">
      <c r="B34">
        <f t="shared" si="15"/>
        <v>299709696.453385</v>
      </c>
      <c r="C34">
        <f t="shared" si="16"/>
        <v>7180350.8052648464</v>
      </c>
      <c r="D34">
        <f t="shared" si="17"/>
        <v>1.9395843642916228E-14</v>
      </c>
      <c r="E34">
        <f t="shared" si="18"/>
        <v>5.8131224106757401E-6</v>
      </c>
      <c r="Q34" s="2"/>
      <c r="R34" s="2"/>
      <c r="S34" s="2"/>
    </row>
    <row r="35" spans="2:21" x14ac:dyDescent="0.25">
      <c r="B35">
        <f t="shared" si="15"/>
        <v>297306933.35696572</v>
      </c>
      <c r="C35">
        <f t="shared" si="16"/>
        <v>7122786.1614164999</v>
      </c>
      <c r="D35">
        <f t="shared" si="17"/>
        <v>1.971061556169692E-14</v>
      </c>
      <c r="E35">
        <f t="shared" si="18"/>
        <v>5.8601026672261981E-6</v>
      </c>
      <c r="Q35" s="2"/>
      <c r="R35" s="2"/>
      <c r="S35" s="2"/>
    </row>
    <row r="36" spans="2:21" x14ac:dyDescent="0.25">
      <c r="B36">
        <f t="shared" si="15"/>
        <v>294090139.64488363</v>
      </c>
      <c r="C36">
        <f t="shared" si="16"/>
        <v>7045719.22766612</v>
      </c>
      <c r="D36">
        <f t="shared" si="17"/>
        <v>2.014416800919538E-14</v>
      </c>
      <c r="E36">
        <f t="shared" si="18"/>
        <v>5.9242011828542668E-6</v>
      </c>
      <c r="Q36" s="2"/>
      <c r="R36" s="2"/>
      <c r="S36" s="2"/>
    </row>
    <row r="37" spans="2:21" x14ac:dyDescent="0.25">
      <c r="B37">
        <f t="shared" si="15"/>
        <v>299816203.09746939</v>
      </c>
      <c r="C37">
        <f t="shared" si="16"/>
        <v>7182902.4580030339</v>
      </c>
      <c r="D37">
        <f t="shared" si="17"/>
        <v>1.9382065739857458E-14</v>
      </c>
      <c r="E37">
        <f t="shared" si="18"/>
        <v>5.8110573583096073E-6</v>
      </c>
      <c r="Q37" s="2"/>
      <c r="R37" s="2"/>
      <c r="S37" s="2"/>
    </row>
    <row r="38" spans="2:21" x14ac:dyDescent="0.25">
      <c r="D38">
        <f>SUM(D28:D37)</f>
        <v>1.9901065622360865E-13</v>
      </c>
      <c r="E38">
        <f>SUM(E28:E37)</f>
        <v>5.8879811837910919E-5</v>
      </c>
      <c r="Q38" s="2"/>
      <c r="R38" s="2"/>
      <c r="S38" s="2"/>
    </row>
    <row r="39" spans="2:21" x14ac:dyDescent="0.25">
      <c r="Q39" s="2"/>
      <c r="R39" s="2"/>
      <c r="S39" s="2"/>
    </row>
    <row r="40" spans="2:21" x14ac:dyDescent="0.25">
      <c r="Q40" s="2"/>
      <c r="R40" s="2"/>
      <c r="S40" s="2"/>
    </row>
    <row r="41" spans="2:21" x14ac:dyDescent="0.25">
      <c r="Q41" s="2"/>
      <c r="R41" s="2"/>
      <c r="S41" s="2"/>
    </row>
    <row r="42" spans="2:21" x14ac:dyDescent="0.25">
      <c r="B42" t="s">
        <v>48</v>
      </c>
      <c r="C42" t="s">
        <v>49</v>
      </c>
      <c r="D42" t="s">
        <v>98</v>
      </c>
      <c r="E42" t="s">
        <v>50</v>
      </c>
      <c r="F42" t="s">
        <v>99</v>
      </c>
      <c r="G42" t="s">
        <v>53</v>
      </c>
      <c r="H42" t="s">
        <v>54</v>
      </c>
      <c r="S42" s="2"/>
      <c r="T42" s="2"/>
      <c r="U42" s="2"/>
    </row>
    <row r="43" spans="2:21" x14ac:dyDescent="0.25">
      <c r="B43">
        <f>E38/D38</f>
        <v>295862608.34069848</v>
      </c>
      <c r="C43">
        <f>1/D38^(0.5)</f>
        <v>2241619.1810360663</v>
      </c>
      <c r="D43">
        <f>C43/B43</f>
        <v>7.5765545149752266E-3</v>
      </c>
      <c r="E43" s="2">
        <f>Q26</f>
        <v>1097513.1578403374</v>
      </c>
      <c r="F43" s="2">
        <f>E43/B43</f>
        <v>3.7095365446670569E-3</v>
      </c>
      <c r="G43">
        <f>SQRT(E43^2+C43^2)</f>
        <v>2495874.9336498161</v>
      </c>
      <c r="H43">
        <f>G43/B43</f>
        <v>8.435925538707173E-3</v>
      </c>
    </row>
    <row r="45" spans="2:21" x14ac:dyDescent="0.25">
      <c r="B45" t="s">
        <v>37</v>
      </c>
    </row>
    <row r="46" spans="2:21" x14ac:dyDescent="0.25">
      <c r="B46">
        <f>ABS(B10-B43)/G43</f>
        <v>1.5421155494294057</v>
      </c>
    </row>
  </sheetData>
  <conditionalFormatting sqref="X13:AG22">
    <cfRule type="cellIs" dxfId="0" priority="1" operator="greaterThan">
      <formula>1.96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2016-12-05T22:44:25Z</dcterms:modified>
</cp:coreProperties>
</file>