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sa\Documents\Scuola\Corsi\Fisica\Laboratorio\LaboratorioOtticaElettronicaFModerna\Git\VelLuce\Data\Analyzed\"/>
    </mc:Choice>
  </mc:AlternateContent>
  <bookViews>
    <workbookView xWindow="0" yWindow="0" windowWidth="28800" windowHeight="12210"/>
  </bookViews>
  <sheets>
    <sheet name="Sheet1" sheetId="2" r:id="rId1"/>
    <sheet name="Misura di c" sheetId="1" r:id="rId2"/>
    <sheet name="Misura di c (2)" sheetId="3" r:id="rId3"/>
    <sheet name="Misura di c (3)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8" i="2"/>
  <c r="B10" i="1"/>
  <c r="AQ13" i="1" l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B10" i="3" l="1"/>
  <c r="AH21" i="3" s="1"/>
  <c r="B10" i="4"/>
  <c r="AH15" i="4" s="1"/>
  <c r="B18" i="2"/>
  <c r="C2" i="4"/>
  <c r="C6" i="2"/>
  <c r="C3" i="3" s="1"/>
  <c r="C2" i="3" l="1"/>
  <c r="C2" i="1"/>
  <c r="C3" i="1"/>
  <c r="C3" i="4"/>
  <c r="AH19" i="3"/>
  <c r="AH15" i="3"/>
  <c r="AH18" i="3"/>
  <c r="AH20" i="3"/>
  <c r="AH14" i="3"/>
  <c r="AH22" i="4"/>
  <c r="AH21" i="4"/>
  <c r="AH20" i="4"/>
  <c r="AH18" i="4"/>
  <c r="AH14" i="4"/>
  <c r="AH17" i="4"/>
  <c r="AH13" i="4"/>
  <c r="AH19" i="4"/>
  <c r="AH16" i="4"/>
  <c r="AH12" i="4"/>
  <c r="AH13" i="3"/>
  <c r="AH22" i="3"/>
  <c r="AH17" i="3"/>
  <c r="AH16" i="3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B9" i="4"/>
  <c r="H22" i="3" l="1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B9" i="3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G13" i="1"/>
  <c r="H13" i="1"/>
  <c r="B7" i="2"/>
  <c r="B4" i="4" s="1"/>
  <c r="B9" i="1"/>
  <c r="B6" i="2"/>
  <c r="B3" i="4" s="1"/>
  <c r="B6" i="4" s="1"/>
  <c r="B8" i="2"/>
  <c r="B2" i="4" s="1"/>
  <c r="F13" i="1"/>
  <c r="D4" i="2"/>
  <c r="D5" i="2"/>
  <c r="D3" i="2"/>
  <c r="B4" i="1" l="1"/>
  <c r="D7" i="2"/>
  <c r="B4" i="3"/>
  <c r="B5" i="3" s="1"/>
  <c r="D6" i="2"/>
  <c r="B5" i="4"/>
  <c r="K14" i="4" s="1"/>
  <c r="B2" i="1"/>
  <c r="C4" i="4"/>
  <c r="C5" i="4" s="1"/>
  <c r="C4" i="1"/>
  <c r="C5" i="1" s="1"/>
  <c r="C4" i="3"/>
  <c r="C5" i="3" s="1"/>
  <c r="B3" i="1"/>
  <c r="B6" i="1" s="1"/>
  <c r="B2" i="3"/>
  <c r="B3" i="3"/>
  <c r="C6" i="3" s="1"/>
  <c r="O16" i="4"/>
  <c r="B31" i="4" s="1"/>
  <c r="O22" i="4"/>
  <c r="B37" i="4" s="1"/>
  <c r="K22" i="4"/>
  <c r="C6" i="4"/>
  <c r="K13" i="4"/>
  <c r="K16" i="4"/>
  <c r="K15" i="4"/>
  <c r="M19" i="4"/>
  <c r="M16" i="4"/>
  <c r="O15" i="4"/>
  <c r="B30" i="4" s="1"/>
  <c r="O19" i="4"/>
  <c r="B34" i="4" s="1"/>
  <c r="M13" i="4"/>
  <c r="O18" i="4"/>
  <c r="B33" i="4" s="1"/>
  <c r="O17" i="4"/>
  <c r="B32" i="4" s="1"/>
  <c r="O20" i="4"/>
  <c r="B35" i="4" s="1"/>
  <c r="B6" i="3"/>
  <c r="L15" i="4" l="1"/>
  <c r="M20" i="4"/>
  <c r="O13" i="4"/>
  <c r="W13" i="4" s="1"/>
  <c r="K18" i="4"/>
  <c r="M14" i="4"/>
  <c r="M15" i="4"/>
  <c r="O21" i="4"/>
  <c r="B36" i="4" s="1"/>
  <c r="M22" i="4"/>
  <c r="K17" i="4"/>
  <c r="M18" i="4"/>
  <c r="K19" i="4"/>
  <c r="K21" i="4"/>
  <c r="K20" i="4"/>
  <c r="M21" i="4"/>
  <c r="M17" i="4"/>
  <c r="L13" i="4"/>
  <c r="P13" i="4" s="1"/>
  <c r="L20" i="4"/>
  <c r="O14" i="4"/>
  <c r="L14" i="4"/>
  <c r="L16" i="4"/>
  <c r="P16" i="4" s="1"/>
  <c r="L22" i="4"/>
  <c r="L17" i="4"/>
  <c r="L19" i="4"/>
  <c r="L18" i="4"/>
  <c r="L21" i="4"/>
  <c r="K17" i="3"/>
  <c r="B5" i="1"/>
  <c r="M28" i="1" s="1"/>
  <c r="O22" i="3"/>
  <c r="A37" i="3" s="1"/>
  <c r="W16" i="4"/>
  <c r="W22" i="4"/>
  <c r="O16" i="3"/>
  <c r="W16" i="3" s="1"/>
  <c r="O14" i="3"/>
  <c r="A29" i="3" s="1"/>
  <c r="C6" i="1"/>
  <c r="K14" i="3"/>
  <c r="K22" i="3"/>
  <c r="K19" i="3"/>
  <c r="K13" i="3"/>
  <c r="K20" i="3"/>
  <c r="W15" i="4"/>
  <c r="W19" i="4"/>
  <c r="W20" i="4"/>
  <c r="W17" i="4"/>
  <c r="W18" i="4"/>
  <c r="K16" i="3"/>
  <c r="K15" i="3"/>
  <c r="K21" i="3"/>
  <c r="L21" i="3"/>
  <c r="L19" i="3"/>
  <c r="L17" i="3"/>
  <c r="L15" i="3"/>
  <c r="L13" i="3"/>
  <c r="L20" i="3"/>
  <c r="M19" i="3"/>
  <c r="M18" i="3"/>
  <c r="L18" i="3"/>
  <c r="M17" i="3"/>
  <c r="M16" i="3"/>
  <c r="O15" i="3"/>
  <c r="A30" i="3" s="1"/>
  <c r="M22" i="3"/>
  <c r="O21" i="3"/>
  <c r="A36" i="3" s="1"/>
  <c r="L16" i="3"/>
  <c r="M15" i="3"/>
  <c r="M14" i="3"/>
  <c r="O13" i="3"/>
  <c r="A28" i="3" s="1"/>
  <c r="L22" i="3"/>
  <c r="M21" i="3"/>
  <c r="M20" i="3"/>
  <c r="O19" i="3"/>
  <c r="A34" i="3" s="1"/>
  <c r="L14" i="3"/>
  <c r="M13" i="3"/>
  <c r="O18" i="3"/>
  <c r="A33" i="3" s="1"/>
  <c r="O17" i="3"/>
  <c r="A32" i="3" s="1"/>
  <c r="O20" i="3"/>
  <c r="A35" i="3" s="1"/>
  <c r="K18" i="3"/>
  <c r="P15" i="4" l="1"/>
  <c r="B28" i="4"/>
  <c r="S13" i="4"/>
  <c r="W21" i="4"/>
  <c r="P14" i="4"/>
  <c r="C29" i="4" s="1"/>
  <c r="D29" i="4" s="1"/>
  <c r="P22" i="4"/>
  <c r="C37" i="4" s="1"/>
  <c r="D37" i="4" s="1"/>
  <c r="E37" i="4" s="1"/>
  <c r="K20" i="1"/>
  <c r="P19" i="4"/>
  <c r="V19" i="4" s="1"/>
  <c r="P18" i="4"/>
  <c r="C33" i="4" s="1"/>
  <c r="D33" i="4" s="1"/>
  <c r="E33" i="4" s="1"/>
  <c r="K32" i="1"/>
  <c r="P17" i="4"/>
  <c r="S17" i="4" s="1"/>
  <c r="M16" i="1"/>
  <c r="M14" i="1"/>
  <c r="P20" i="4"/>
  <c r="C35" i="4" s="1"/>
  <c r="D35" i="4" s="1"/>
  <c r="E35" i="4" s="1"/>
  <c r="P21" i="4"/>
  <c r="V21" i="4" s="1"/>
  <c r="W22" i="3"/>
  <c r="B29" i="4"/>
  <c r="W14" i="4"/>
  <c r="O26" i="4"/>
  <c r="P26" i="4"/>
  <c r="O26" i="1"/>
  <c r="A52" i="1" s="1"/>
  <c r="L18" i="1"/>
  <c r="M25" i="1"/>
  <c r="L28" i="1"/>
  <c r="L15" i="1"/>
  <c r="K26" i="1"/>
  <c r="M18" i="1"/>
  <c r="K24" i="1"/>
  <c r="O28" i="1"/>
  <c r="K13" i="1"/>
  <c r="L17" i="1"/>
  <c r="O22" i="1"/>
  <c r="A48" i="1" s="1"/>
  <c r="O24" i="1"/>
  <c r="K28" i="1"/>
  <c r="K16" i="1"/>
  <c r="O32" i="1"/>
  <c r="A58" i="1" s="1"/>
  <c r="M29" i="1"/>
  <c r="M22" i="1"/>
  <c r="M17" i="1"/>
  <c r="K19" i="1"/>
  <c r="L13" i="1"/>
  <c r="M21" i="1"/>
  <c r="O25" i="1"/>
  <c r="A51" i="1" s="1"/>
  <c r="L23" i="1"/>
  <c r="K18" i="1"/>
  <c r="O27" i="1"/>
  <c r="W26" i="1" s="1"/>
  <c r="K17" i="1"/>
  <c r="L14" i="1"/>
  <c r="M15" i="1"/>
  <c r="M26" i="1"/>
  <c r="M31" i="1"/>
  <c r="K14" i="1"/>
  <c r="L32" i="1"/>
  <c r="L25" i="1"/>
  <c r="K30" i="1"/>
  <c r="L27" i="1"/>
  <c r="O17" i="1"/>
  <c r="O30" i="1"/>
  <c r="O19" i="1"/>
  <c r="A45" i="1" s="1"/>
  <c r="K23" i="1"/>
  <c r="K22" i="1"/>
  <c r="M13" i="1"/>
  <c r="O21" i="1"/>
  <c r="L30" i="1"/>
  <c r="L20" i="1"/>
  <c r="M24" i="1"/>
  <c r="O18" i="1"/>
  <c r="K21" i="1"/>
  <c r="K27" i="1"/>
  <c r="M19" i="1"/>
  <c r="K25" i="1"/>
  <c r="L29" i="1"/>
  <c r="M30" i="1"/>
  <c r="K31" i="1"/>
  <c r="O31" i="1"/>
  <c r="O20" i="1"/>
  <c r="M20" i="1"/>
  <c r="K15" i="1"/>
  <c r="L19" i="1"/>
  <c r="O23" i="1"/>
  <c r="M27" i="1"/>
  <c r="O16" i="1"/>
  <c r="L16" i="1"/>
  <c r="L22" i="1"/>
  <c r="M23" i="1"/>
  <c r="O14" i="1"/>
  <c r="O29" i="1"/>
  <c r="O13" i="1"/>
  <c r="A39" i="1" s="1"/>
  <c r="O15" i="1"/>
  <c r="L21" i="1"/>
  <c r="L24" i="1"/>
  <c r="K29" i="1"/>
  <c r="L26" i="1"/>
  <c r="L31" i="1"/>
  <c r="M32" i="1"/>
  <c r="V13" i="4"/>
  <c r="A31" i="3"/>
  <c r="W14" i="3"/>
  <c r="C31" i="4"/>
  <c r="D31" i="4" s="1"/>
  <c r="E31" i="4" s="1"/>
  <c r="C30" i="4"/>
  <c r="D30" i="4" s="1"/>
  <c r="E30" i="4" s="1"/>
  <c r="S14" i="4"/>
  <c r="C28" i="4"/>
  <c r="D28" i="4" s="1"/>
  <c r="M26" i="3"/>
  <c r="N26" i="3"/>
  <c r="S15" i="4"/>
  <c r="V15" i="4"/>
  <c r="V16" i="4"/>
  <c r="S16" i="4"/>
  <c r="P17" i="3"/>
  <c r="P13" i="3"/>
  <c r="P15" i="3"/>
  <c r="P18" i="3"/>
  <c r="P14" i="3"/>
  <c r="P22" i="3"/>
  <c r="P20" i="3"/>
  <c r="P19" i="3"/>
  <c r="W20" i="3"/>
  <c r="P16" i="3"/>
  <c r="W17" i="3"/>
  <c r="W15" i="3"/>
  <c r="W19" i="3"/>
  <c r="W18" i="3"/>
  <c r="W13" i="3"/>
  <c r="W21" i="3"/>
  <c r="P21" i="3"/>
  <c r="V22" i="4" l="1"/>
  <c r="P17" i="1"/>
  <c r="B43" i="1" s="1"/>
  <c r="C43" i="1" s="1"/>
  <c r="V18" i="4"/>
  <c r="V14" i="4"/>
  <c r="S18" i="4"/>
  <c r="Q15" i="4"/>
  <c r="R15" i="4" s="1"/>
  <c r="C32" i="4"/>
  <c r="D32" i="4" s="1"/>
  <c r="E32" i="4" s="1"/>
  <c r="S21" i="4"/>
  <c r="S22" i="4"/>
  <c r="C36" i="4"/>
  <c r="D36" i="4" s="1"/>
  <c r="E36" i="4" s="1"/>
  <c r="C34" i="4"/>
  <c r="D34" i="4" s="1"/>
  <c r="E34" i="4" s="1"/>
  <c r="S19" i="4"/>
  <c r="V17" i="4"/>
  <c r="S20" i="4"/>
  <c r="V20" i="4"/>
  <c r="W21" i="1"/>
  <c r="P19" i="1"/>
  <c r="S19" i="1" s="1"/>
  <c r="E29" i="4"/>
  <c r="Q14" i="4"/>
  <c r="R14" i="4" s="1"/>
  <c r="Q20" i="4"/>
  <c r="R20" i="4" s="1"/>
  <c r="Q21" i="4"/>
  <c r="R21" i="4" s="1"/>
  <c r="Q18" i="4"/>
  <c r="R18" i="4" s="1"/>
  <c r="Q26" i="4"/>
  <c r="E43" i="4" s="1"/>
  <c r="R26" i="4"/>
  <c r="Q13" i="4"/>
  <c r="R13" i="4" s="1"/>
  <c r="Q17" i="4"/>
  <c r="R17" i="4" s="1"/>
  <c r="Q19" i="4"/>
  <c r="R19" i="4" s="1"/>
  <c r="Q22" i="4"/>
  <c r="R22" i="4" s="1"/>
  <c r="Q16" i="4"/>
  <c r="R16" i="4" s="1"/>
  <c r="P22" i="1"/>
  <c r="B48" i="1" s="1"/>
  <c r="C48" i="1" s="1"/>
  <c r="D48" i="1" s="1"/>
  <c r="P14" i="1"/>
  <c r="B40" i="1" s="1"/>
  <c r="C40" i="1" s="1"/>
  <c r="A53" i="1"/>
  <c r="W25" i="1"/>
  <c r="P18" i="1"/>
  <c r="B44" i="1" s="1"/>
  <c r="C44" i="1" s="1"/>
  <c r="P30" i="1"/>
  <c r="B56" i="1" s="1"/>
  <c r="C56" i="1" s="1"/>
  <c r="P20" i="1"/>
  <c r="S20" i="1" s="1"/>
  <c r="P28" i="1"/>
  <c r="B54" i="1" s="1"/>
  <c r="C54" i="1" s="1"/>
  <c r="W24" i="1"/>
  <c r="P31" i="1"/>
  <c r="S31" i="1" s="1"/>
  <c r="P26" i="1"/>
  <c r="S26" i="1" s="1"/>
  <c r="P23" i="1"/>
  <c r="B49" i="1" s="1"/>
  <c r="C49" i="1" s="1"/>
  <c r="W31" i="1"/>
  <c r="P21" i="1"/>
  <c r="B47" i="1" s="1"/>
  <c r="C47" i="1" s="1"/>
  <c r="P13" i="1"/>
  <c r="S13" i="1" s="1"/>
  <c r="P24" i="1"/>
  <c r="B50" i="1" s="1"/>
  <c r="C50" i="1" s="1"/>
  <c r="A57" i="1"/>
  <c r="W30" i="1"/>
  <c r="A44" i="1"/>
  <c r="W17" i="1"/>
  <c r="P16" i="1"/>
  <c r="B42" i="1" s="1"/>
  <c r="C42" i="1" s="1"/>
  <c r="W18" i="1"/>
  <c r="A50" i="1"/>
  <c r="W23" i="1"/>
  <c r="A56" i="1"/>
  <c r="W29" i="1"/>
  <c r="P32" i="1"/>
  <c r="B58" i="1" s="1"/>
  <c r="C58" i="1" s="1"/>
  <c r="D58" i="1" s="1"/>
  <c r="W20" i="1"/>
  <c r="A47" i="1"/>
  <c r="A43" i="1"/>
  <c r="W16" i="1"/>
  <c r="P27" i="1"/>
  <c r="P15" i="1"/>
  <c r="B41" i="1" s="1"/>
  <c r="C41" i="1" s="1"/>
  <c r="P25" i="1"/>
  <c r="P29" i="1"/>
  <c r="B55" i="1" s="1"/>
  <c r="C55" i="1" s="1"/>
  <c r="A46" i="1"/>
  <c r="W19" i="1"/>
  <c r="A54" i="1"/>
  <c r="W27" i="1"/>
  <c r="W22" i="1"/>
  <c r="A49" i="1"/>
  <c r="W14" i="1"/>
  <c r="A41" i="1"/>
  <c r="A55" i="1"/>
  <c r="W28" i="1"/>
  <c r="N37" i="1"/>
  <c r="A40" i="1"/>
  <c r="W13" i="1"/>
  <c r="O37" i="1"/>
  <c r="W15" i="1"/>
  <c r="A42" i="1"/>
  <c r="P26" i="3"/>
  <c r="O26" i="3"/>
  <c r="D41" i="3" s="1"/>
  <c r="E28" i="4"/>
  <c r="Q16" i="3"/>
  <c r="B31" i="3"/>
  <c r="C31" i="3" s="1"/>
  <c r="D31" i="3" s="1"/>
  <c r="B32" i="3"/>
  <c r="C32" i="3" s="1"/>
  <c r="D32" i="3" s="1"/>
  <c r="Q17" i="3"/>
  <c r="Q14" i="3"/>
  <c r="B29" i="3"/>
  <c r="C29" i="3" s="1"/>
  <c r="D29" i="3" s="1"/>
  <c r="B34" i="3"/>
  <c r="C34" i="3" s="1"/>
  <c r="D34" i="3" s="1"/>
  <c r="Q19" i="3"/>
  <c r="B33" i="3"/>
  <c r="C33" i="3" s="1"/>
  <c r="D33" i="3" s="1"/>
  <c r="Q18" i="3"/>
  <c r="B37" i="3"/>
  <c r="C37" i="3" s="1"/>
  <c r="D37" i="3" s="1"/>
  <c r="Q22" i="3"/>
  <c r="B36" i="3"/>
  <c r="C36" i="3" s="1"/>
  <c r="D36" i="3" s="1"/>
  <c r="Q21" i="3"/>
  <c r="B35" i="3"/>
  <c r="C35" i="3" s="1"/>
  <c r="D35" i="3" s="1"/>
  <c r="Q20" i="3"/>
  <c r="B30" i="3"/>
  <c r="C30" i="3" s="1"/>
  <c r="D30" i="3" s="1"/>
  <c r="Q15" i="3"/>
  <c r="B28" i="3"/>
  <c r="C28" i="3" s="1"/>
  <c r="Q13" i="3"/>
  <c r="S17" i="1" l="1"/>
  <c r="X10" i="4" a="1"/>
  <c r="X10" i="4" s="1"/>
  <c r="B45" i="1"/>
  <c r="C45" i="1" s="1"/>
  <c r="D45" i="1" s="1"/>
  <c r="D38" i="4"/>
  <c r="C43" i="4" s="1"/>
  <c r="G43" i="4" s="1"/>
  <c r="B24" i="2" s="1"/>
  <c r="B29" i="2" s="1"/>
  <c r="C29" i="2" s="1"/>
  <c r="S14" i="1"/>
  <c r="B39" i="1"/>
  <c r="C39" i="1" s="1"/>
  <c r="D39" i="1" s="1"/>
  <c r="E38" i="4"/>
  <c r="S22" i="1"/>
  <c r="D40" i="1"/>
  <c r="B46" i="1"/>
  <c r="C46" i="1" s="1"/>
  <c r="D46" i="1" s="1"/>
  <c r="D56" i="1"/>
  <c r="S15" i="1"/>
  <c r="B57" i="1"/>
  <c r="C57" i="1" s="1"/>
  <c r="D57" i="1" s="1"/>
  <c r="D41" i="1"/>
  <c r="S24" i="1"/>
  <c r="S18" i="1"/>
  <c r="S23" i="1"/>
  <c r="Q24" i="1"/>
  <c r="V24" i="1" s="1"/>
  <c r="D47" i="1"/>
  <c r="B52" i="1"/>
  <c r="C52" i="1" s="1"/>
  <c r="D52" i="1" s="1"/>
  <c r="D43" i="1"/>
  <c r="Q17" i="1"/>
  <c r="V17" i="1" s="1"/>
  <c r="S21" i="1"/>
  <c r="S28" i="1"/>
  <c r="S30" i="1"/>
  <c r="D44" i="1"/>
  <c r="Q23" i="1"/>
  <c r="V23" i="1" s="1"/>
  <c r="D50" i="1"/>
  <c r="S16" i="1"/>
  <c r="Q13" i="1"/>
  <c r="V13" i="1" s="1"/>
  <c r="S29" i="1"/>
  <c r="S32" i="1"/>
  <c r="S25" i="1"/>
  <c r="B51" i="1"/>
  <c r="C51" i="1" s="1"/>
  <c r="D51" i="1" s="1"/>
  <c r="D55" i="1"/>
  <c r="B53" i="1"/>
  <c r="C53" i="1" s="1"/>
  <c r="D53" i="1" s="1"/>
  <c r="S27" i="1"/>
  <c r="D54" i="1"/>
  <c r="D49" i="1"/>
  <c r="Q26" i="1"/>
  <c r="D42" i="1"/>
  <c r="P37" i="1"/>
  <c r="E63" i="1" s="1"/>
  <c r="Q21" i="1"/>
  <c r="Q16" i="1"/>
  <c r="Q27" i="1"/>
  <c r="Q30" i="1"/>
  <c r="Q29" i="1"/>
  <c r="Q28" i="1"/>
  <c r="Q20" i="1"/>
  <c r="Q37" i="1"/>
  <c r="Q18" i="1"/>
  <c r="Q15" i="1"/>
  <c r="Q14" i="1"/>
  <c r="Q25" i="1"/>
  <c r="Q31" i="1"/>
  <c r="V31" i="1" s="1"/>
  <c r="Q19" i="1"/>
  <c r="Q22" i="1"/>
  <c r="Q32" i="1"/>
  <c r="R32" i="1" s="1"/>
  <c r="AD11" i="4"/>
  <c r="X12" i="4"/>
  <c r="AG12" i="4"/>
  <c r="Y10" i="4"/>
  <c r="AE10" i="4"/>
  <c r="X11" i="4"/>
  <c r="AF12" i="4"/>
  <c r="Y12" i="4"/>
  <c r="AE12" i="4"/>
  <c r="Z10" i="4"/>
  <c r="AB10" i="4"/>
  <c r="V15" i="3"/>
  <c r="R15" i="3"/>
  <c r="S15" i="3"/>
  <c r="V21" i="3"/>
  <c r="R21" i="3"/>
  <c r="S21" i="3"/>
  <c r="V18" i="3"/>
  <c r="R18" i="3"/>
  <c r="S18" i="3"/>
  <c r="V13" i="3"/>
  <c r="S13" i="3"/>
  <c r="R13" i="3"/>
  <c r="V20" i="3"/>
  <c r="S20" i="3"/>
  <c r="R20" i="3"/>
  <c r="V22" i="3"/>
  <c r="S22" i="3"/>
  <c r="R22" i="3"/>
  <c r="V19" i="3"/>
  <c r="S19" i="3"/>
  <c r="R19" i="3"/>
  <c r="V17" i="3"/>
  <c r="R17" i="3"/>
  <c r="S17" i="3"/>
  <c r="D28" i="3"/>
  <c r="D38" i="3" s="1"/>
  <c r="C38" i="3"/>
  <c r="B41" i="3" s="1"/>
  <c r="S14" i="3"/>
  <c r="V14" i="3"/>
  <c r="R14" i="3"/>
  <c r="V16" i="3"/>
  <c r="R16" i="3"/>
  <c r="S16" i="3"/>
  <c r="AA12" i="4" l="1"/>
  <c r="Z11" i="4"/>
  <c r="AD10" i="4"/>
  <c r="AE11" i="4"/>
  <c r="AC12" i="4"/>
  <c r="AA11" i="4"/>
  <c r="Y11" i="4"/>
  <c r="Y13" i="4" s="1"/>
  <c r="AC11" i="4"/>
  <c r="AD12" i="4"/>
  <c r="AC10" i="4"/>
  <c r="AF11" i="4"/>
  <c r="AG11" i="4"/>
  <c r="AA10" i="4"/>
  <c r="AB11" i="4"/>
  <c r="AB14" i="4" s="1"/>
  <c r="AG10" i="4"/>
  <c r="AB12" i="4"/>
  <c r="AF10" i="4"/>
  <c r="Z12" i="4"/>
  <c r="Z18" i="4" s="1"/>
  <c r="B43" i="4"/>
  <c r="F43" i="4" s="1"/>
  <c r="R23" i="1"/>
  <c r="R24" i="1"/>
  <c r="R17" i="1"/>
  <c r="R13" i="1"/>
  <c r="AF19" i="4"/>
  <c r="R31" i="1"/>
  <c r="D59" i="1"/>
  <c r="C59" i="1"/>
  <c r="C63" i="1" s="1"/>
  <c r="G63" i="1" s="1"/>
  <c r="B22" i="2" s="1"/>
  <c r="B27" i="2" s="1"/>
  <c r="V14" i="1"/>
  <c r="R14" i="1"/>
  <c r="V27" i="1"/>
  <c r="R27" i="1"/>
  <c r="V15" i="1"/>
  <c r="R15" i="1"/>
  <c r="V16" i="1"/>
  <c r="R16" i="1"/>
  <c r="V21" i="1"/>
  <c r="R21" i="1"/>
  <c r="V22" i="1"/>
  <c r="R22" i="1"/>
  <c r="V20" i="1"/>
  <c r="R20" i="1"/>
  <c r="V18" i="1"/>
  <c r="R18" i="1"/>
  <c r="V19" i="1"/>
  <c r="R19" i="1"/>
  <c r="V28" i="1"/>
  <c r="R28" i="1"/>
  <c r="V29" i="1"/>
  <c r="R29" i="1"/>
  <c r="V26" i="1"/>
  <c r="R26" i="1"/>
  <c r="AF17" i="4"/>
  <c r="V25" i="1"/>
  <c r="R25" i="1"/>
  <c r="V30" i="1"/>
  <c r="R30" i="1"/>
  <c r="AE16" i="4"/>
  <c r="F41" i="3"/>
  <c r="B23" i="2" s="1"/>
  <c r="B28" i="2" s="1"/>
  <c r="C28" i="2" s="1"/>
  <c r="AA16" i="4"/>
  <c r="AF14" i="4"/>
  <c r="AF22" i="4"/>
  <c r="AF18" i="4"/>
  <c r="AE13" i="4"/>
  <c r="H43" i="4"/>
  <c r="AE22" i="4"/>
  <c r="AA18" i="4"/>
  <c r="AF15" i="4"/>
  <c r="AF16" i="4"/>
  <c r="AB17" i="4"/>
  <c r="AF13" i="4"/>
  <c r="AE15" i="4"/>
  <c r="AB20" i="4"/>
  <c r="AB22" i="4"/>
  <c r="AE19" i="4"/>
  <c r="AE18" i="4"/>
  <c r="AE14" i="4"/>
  <c r="AB18" i="4"/>
  <c r="AB16" i="4"/>
  <c r="AF21" i="4"/>
  <c r="AF20" i="4"/>
  <c r="AE17" i="4"/>
  <c r="AE20" i="4"/>
  <c r="AE21" i="4"/>
  <c r="AB13" i="4"/>
  <c r="AB19" i="4"/>
  <c r="X10" i="3" a="1"/>
  <c r="A41" i="3"/>
  <c r="E41" i="3" s="1"/>
  <c r="AG17" i="4"/>
  <c r="AA22" i="4"/>
  <c r="AG19" i="4"/>
  <c r="AA20" i="4"/>
  <c r="AG20" i="4"/>
  <c r="AG22" i="4"/>
  <c r="AA19" i="4"/>
  <c r="AG15" i="4"/>
  <c r="AG16" i="4"/>
  <c r="AD13" i="4"/>
  <c r="AG18" i="4"/>
  <c r="Z17" i="4"/>
  <c r="AC13" i="4"/>
  <c r="AC17" i="4"/>
  <c r="Y19" i="4"/>
  <c r="Y22" i="4"/>
  <c r="X15" i="4"/>
  <c r="AD22" i="4"/>
  <c r="AC20" i="4"/>
  <c r="AA14" i="4"/>
  <c r="AA17" i="4"/>
  <c r="AG14" i="4"/>
  <c r="AA21" i="4"/>
  <c r="AA15" i="4"/>
  <c r="AA13" i="4"/>
  <c r="AG21" i="4"/>
  <c r="AG13" i="4"/>
  <c r="AC14" i="4"/>
  <c r="Z22" i="4"/>
  <c r="X18" i="4"/>
  <c r="X19" i="4"/>
  <c r="X22" i="4"/>
  <c r="X17" i="4"/>
  <c r="X21" i="4"/>
  <c r="AC15" i="4"/>
  <c r="AC16" i="4"/>
  <c r="AD15" i="4"/>
  <c r="AD19" i="4"/>
  <c r="AD16" i="4"/>
  <c r="X13" i="4"/>
  <c r="X14" i="4"/>
  <c r="Y17" i="4"/>
  <c r="X20" i="4"/>
  <c r="X16" i="4"/>
  <c r="AC19" i="4"/>
  <c r="AC18" i="4"/>
  <c r="AC21" i="4"/>
  <c r="AC22" i="4"/>
  <c r="AD17" i="4"/>
  <c r="AD18" i="4"/>
  <c r="AD21" i="4"/>
  <c r="AD20" i="4"/>
  <c r="AD14" i="4"/>
  <c r="AB21" i="4" l="1"/>
  <c r="Y15" i="4"/>
  <c r="Y14" i="4"/>
  <c r="Y20" i="4"/>
  <c r="Y18" i="4"/>
  <c r="Y16" i="4"/>
  <c r="Y21" i="4"/>
  <c r="Z20" i="4"/>
  <c r="Z16" i="4"/>
  <c r="Z15" i="4"/>
  <c r="Z14" i="4"/>
  <c r="Z21" i="4"/>
  <c r="Z19" i="4"/>
  <c r="B46" i="4"/>
  <c r="AB15" i="4"/>
  <c r="Z13" i="4"/>
  <c r="C24" i="2"/>
  <c r="A29" i="2" s="1"/>
  <c r="D29" i="2" s="1"/>
  <c r="D43" i="4"/>
  <c r="B63" i="1"/>
  <c r="C22" i="2" s="1"/>
  <c r="A27" i="2" s="1"/>
  <c r="X10" i="1" a="1"/>
  <c r="AP10" i="1" s="1"/>
  <c r="C41" i="3"/>
  <c r="B66" i="1"/>
  <c r="C27" i="2"/>
  <c r="C30" i="2" s="1"/>
  <c r="I28" i="2" s="1"/>
  <c r="A44" i="3"/>
  <c r="C23" i="2"/>
  <c r="AE10" i="3"/>
  <c r="Y10" i="3"/>
  <c r="Z12" i="3"/>
  <c r="AG11" i="3"/>
  <c r="AA11" i="3"/>
  <c r="AD12" i="3"/>
  <c r="AF10" i="3"/>
  <c r="X10" i="3"/>
  <c r="AB11" i="3"/>
  <c r="AD10" i="3"/>
  <c r="AA12" i="3"/>
  <c r="AE11" i="3"/>
  <c r="AE12" i="3"/>
  <c r="AG12" i="3"/>
  <c r="AC11" i="3"/>
  <c r="AB12" i="3"/>
  <c r="AF11" i="3"/>
  <c r="AD11" i="3"/>
  <c r="Y12" i="3"/>
  <c r="AA10" i="3"/>
  <c r="AF12" i="3"/>
  <c r="X11" i="3"/>
  <c r="Y11" i="3"/>
  <c r="Z10" i="3"/>
  <c r="AG10" i="3"/>
  <c r="AC10" i="3"/>
  <c r="Z11" i="3"/>
  <c r="AC12" i="3"/>
  <c r="AB10" i="3"/>
  <c r="X12" i="3"/>
  <c r="G41" i="3"/>
  <c r="H63" i="1" l="1"/>
  <c r="D63" i="1"/>
  <c r="F63" i="1"/>
  <c r="AA10" i="1"/>
  <c r="AM10" i="1"/>
  <c r="AD10" i="1"/>
  <c r="AJ10" i="1"/>
  <c r="AB10" i="1"/>
  <c r="AK10" i="1"/>
  <c r="AE10" i="1"/>
  <c r="AB11" i="1"/>
  <c r="AL10" i="1"/>
  <c r="AA11" i="1"/>
  <c r="Z10" i="1"/>
  <c r="Y10" i="1"/>
  <c r="AH10" i="1"/>
  <c r="AG10" i="1"/>
  <c r="X11" i="1"/>
  <c r="AI10" i="1"/>
  <c r="AA12" i="1"/>
  <c r="AN12" i="1"/>
  <c r="AJ11" i="1"/>
  <c r="AK11" i="1"/>
  <c r="AP12" i="1"/>
  <c r="AD12" i="1"/>
  <c r="AH12" i="1"/>
  <c r="AM12" i="1"/>
  <c r="AI11" i="1"/>
  <c r="AE11" i="1"/>
  <c r="AJ12" i="1"/>
  <c r="AJ16" i="1" s="1"/>
  <c r="X12" i="1"/>
  <c r="AL12" i="1"/>
  <c r="AO12" i="1"/>
  <c r="Y12" i="1"/>
  <c r="AL11" i="1"/>
  <c r="AG11" i="1"/>
  <c r="AI12" i="1"/>
  <c r="AE12" i="1"/>
  <c r="AH11" i="1"/>
  <c r="AC11" i="1"/>
  <c r="AN11" i="1"/>
  <c r="AF10" i="1"/>
  <c r="AB12" i="1"/>
  <c r="AB18" i="1" s="1"/>
  <c r="Z12" i="1"/>
  <c r="AK12" i="1"/>
  <c r="AF11" i="1"/>
  <c r="Y11" i="1"/>
  <c r="AO10" i="1"/>
  <c r="AN10" i="1"/>
  <c r="AF12" i="1"/>
  <c r="AP11" i="1"/>
  <c r="AG12" i="1"/>
  <c r="AG30" i="1" s="1"/>
  <c r="AC12" i="1"/>
  <c r="AD11" i="1"/>
  <c r="AM11" i="1"/>
  <c r="Z11" i="1"/>
  <c r="Z22" i="1" s="1"/>
  <c r="AC10" i="1"/>
  <c r="X10" i="1"/>
  <c r="AO11" i="1"/>
  <c r="AB14" i="3"/>
  <c r="AB18" i="3"/>
  <c r="AB22" i="3"/>
  <c r="AB20" i="3"/>
  <c r="AB17" i="3"/>
  <c r="AB21" i="3"/>
  <c r="AB15" i="3"/>
  <c r="AB19" i="3"/>
  <c r="AB16" i="3"/>
  <c r="AB13" i="3"/>
  <c r="AD13" i="3"/>
  <c r="AD17" i="3"/>
  <c r="AD21" i="3"/>
  <c r="AD14" i="3"/>
  <c r="AD18" i="3"/>
  <c r="AD22" i="3"/>
  <c r="AD15" i="3"/>
  <c r="AD19" i="3"/>
  <c r="AD16" i="3"/>
  <c r="AD20" i="3"/>
  <c r="X16" i="3"/>
  <c r="X20" i="3"/>
  <c r="X14" i="3"/>
  <c r="X18" i="3"/>
  <c r="X22" i="3"/>
  <c r="X13" i="3"/>
  <c r="X17" i="3"/>
  <c r="X21" i="3"/>
  <c r="X15" i="3"/>
  <c r="X19" i="3"/>
  <c r="AG15" i="3"/>
  <c r="AG19" i="3"/>
  <c r="AG21" i="3"/>
  <c r="AG18" i="3"/>
  <c r="AG22" i="3"/>
  <c r="AG16" i="3"/>
  <c r="AG20" i="3"/>
  <c r="AG13" i="3"/>
  <c r="AG17" i="3"/>
  <c r="AG14" i="3"/>
  <c r="AF16" i="3"/>
  <c r="AF20" i="3"/>
  <c r="AF18" i="3"/>
  <c r="AF22" i="3"/>
  <c r="AF15" i="3"/>
  <c r="AF19" i="3"/>
  <c r="AF13" i="3"/>
  <c r="AF17" i="3"/>
  <c r="AF21" i="3"/>
  <c r="AF14" i="3"/>
  <c r="AE16" i="3"/>
  <c r="AE20" i="3"/>
  <c r="AE18" i="3"/>
  <c r="AE15" i="3"/>
  <c r="AE19" i="3"/>
  <c r="AE13" i="3"/>
  <c r="AE17" i="3"/>
  <c r="AE21" i="3"/>
  <c r="AE14" i="3"/>
  <c r="AE22" i="3"/>
  <c r="AC13" i="3"/>
  <c r="AC17" i="3"/>
  <c r="AC21" i="3"/>
  <c r="AC14" i="3"/>
  <c r="AC18" i="3"/>
  <c r="AC22" i="3"/>
  <c r="AC15" i="3"/>
  <c r="AC19" i="3"/>
  <c r="AC16" i="3"/>
  <c r="AC20" i="3"/>
  <c r="Y15" i="3"/>
  <c r="Y19" i="3"/>
  <c r="Y14" i="3"/>
  <c r="Y16" i="3"/>
  <c r="Y20" i="3"/>
  <c r="Y13" i="3"/>
  <c r="Y17" i="3"/>
  <c r="Y21" i="3"/>
  <c r="Y18" i="3"/>
  <c r="Y22" i="3"/>
  <c r="AA14" i="3"/>
  <c r="AA18" i="3"/>
  <c r="AA22" i="3"/>
  <c r="AA16" i="3"/>
  <c r="AA20" i="3"/>
  <c r="AA17" i="3"/>
  <c r="AA21" i="3"/>
  <c r="AA15" i="3"/>
  <c r="AA19" i="3"/>
  <c r="AA13" i="3"/>
  <c r="Z15" i="3"/>
  <c r="Z19" i="3"/>
  <c r="Z17" i="3"/>
  <c r="Z14" i="3"/>
  <c r="Z18" i="3"/>
  <c r="Z16" i="3"/>
  <c r="Z20" i="3"/>
  <c r="Z13" i="3"/>
  <c r="Z21" i="3"/>
  <c r="Z22" i="3"/>
  <c r="D27" i="2"/>
  <c r="D19" i="2" a="1"/>
  <c r="F20" i="2" s="1"/>
  <c r="A28" i="2"/>
  <c r="D28" i="2" s="1"/>
  <c r="AC30" i="1" l="1"/>
  <c r="Z18" i="1"/>
  <c r="AK25" i="1"/>
  <c r="AA22" i="1"/>
  <c r="AN15" i="1"/>
  <c r="AJ22" i="1"/>
  <c r="AJ23" i="1"/>
  <c r="AD21" i="1"/>
  <c r="Z19" i="1"/>
  <c r="AA13" i="1"/>
  <c r="AD29" i="1"/>
  <c r="AK31" i="1"/>
  <c r="AI31" i="1"/>
  <c r="AA15" i="1"/>
  <c r="Y19" i="1"/>
  <c r="AH13" i="1"/>
  <c r="X16" i="1"/>
  <c r="AD23" i="1"/>
  <c r="AG28" i="1"/>
  <c r="AG25" i="1"/>
  <c r="AG14" i="1"/>
  <c r="AG22" i="1"/>
  <c r="AI26" i="1"/>
  <c r="AN18" i="1"/>
  <c r="AK15" i="1"/>
  <c r="Z24" i="1"/>
  <c r="AK13" i="1"/>
  <c r="AE18" i="1"/>
  <c r="AN17" i="1"/>
  <c r="AJ28" i="1"/>
  <c r="AJ14" i="1"/>
  <c r="AJ15" i="1"/>
  <c r="AE30" i="1"/>
  <c r="AG31" i="1"/>
  <c r="AN16" i="1"/>
  <c r="AJ20" i="1"/>
  <c r="AJ26" i="1"/>
  <c r="AJ18" i="1"/>
  <c r="AF14" i="1"/>
  <c r="AK30" i="1"/>
  <c r="AD19" i="1"/>
  <c r="AN22" i="1"/>
  <c r="AD25" i="1"/>
  <c r="AK22" i="1"/>
  <c r="AD31" i="1"/>
  <c r="AI27" i="1"/>
  <c r="AN14" i="1"/>
  <c r="AJ17" i="1"/>
  <c r="AJ13" i="1"/>
  <c r="AJ24" i="1"/>
  <c r="AJ27" i="1"/>
  <c r="AJ21" i="1"/>
  <c r="AK18" i="1"/>
  <c r="AD15" i="1"/>
  <c r="AI29" i="1"/>
  <c r="AJ30" i="1"/>
  <c r="AJ31" i="1"/>
  <c r="AD13" i="1"/>
  <c r="AN28" i="1"/>
  <c r="AJ19" i="1"/>
  <c r="AJ29" i="1"/>
  <c r="AE15" i="1"/>
  <c r="AC26" i="1"/>
  <c r="AK24" i="1"/>
  <c r="AK23" i="1"/>
  <c r="AD30" i="1"/>
  <c r="AD16" i="1"/>
  <c r="AD17" i="1"/>
  <c r="AI20" i="1"/>
  <c r="AN29" i="1"/>
  <c r="AN30" i="1"/>
  <c r="AA17" i="1"/>
  <c r="AO14" i="1"/>
  <c r="AK16" i="1"/>
  <c r="AK14" i="1"/>
  <c r="AK26" i="1"/>
  <c r="AD14" i="1"/>
  <c r="AD28" i="1"/>
  <c r="AN20" i="1"/>
  <c r="AN21" i="1"/>
  <c r="AN25" i="1"/>
  <c r="AE26" i="1"/>
  <c r="AC18" i="1"/>
  <c r="AK29" i="1"/>
  <c r="AK27" i="1"/>
  <c r="AK28" i="1"/>
  <c r="AD22" i="1"/>
  <c r="AD20" i="1"/>
  <c r="AN23" i="1"/>
  <c r="AN13" i="1"/>
  <c r="AN27" i="1"/>
  <c r="AK21" i="1"/>
  <c r="AK19" i="1"/>
  <c r="AK20" i="1"/>
  <c r="AD27" i="1"/>
  <c r="AD18" i="1"/>
  <c r="AN31" i="1"/>
  <c r="AN26" i="1"/>
  <c r="AN19" i="1"/>
  <c r="AE24" i="1"/>
  <c r="AE17" i="1"/>
  <c r="AK17" i="1"/>
  <c r="AD26" i="1"/>
  <c r="AD24" i="1"/>
  <c r="AN24" i="1"/>
  <c r="AI16" i="1"/>
  <c r="AA18" i="1"/>
  <c r="AC17" i="1"/>
  <c r="Z23" i="1"/>
  <c r="AG13" i="1"/>
  <c r="AG27" i="1"/>
  <c r="AI19" i="1"/>
  <c r="AI25" i="1"/>
  <c r="AI18" i="1"/>
  <c r="AA27" i="1"/>
  <c r="AA16" i="1"/>
  <c r="AP17" i="1"/>
  <c r="AL14" i="1"/>
  <c r="AC27" i="1"/>
  <c r="Z28" i="1"/>
  <c r="AG26" i="1"/>
  <c r="AG19" i="1"/>
  <c r="AI14" i="1"/>
  <c r="AI17" i="1"/>
  <c r="AA14" i="1"/>
  <c r="AA29" i="1"/>
  <c r="AC19" i="1"/>
  <c r="Z16" i="1"/>
  <c r="AG18" i="1"/>
  <c r="AG17" i="1"/>
  <c r="AI23" i="1"/>
  <c r="AI24" i="1"/>
  <c r="AA23" i="1"/>
  <c r="AA21" i="1"/>
  <c r="AE19" i="1"/>
  <c r="AC28" i="1"/>
  <c r="Z21" i="1"/>
  <c r="AG29" i="1"/>
  <c r="AG23" i="1"/>
  <c r="AG24" i="1"/>
  <c r="AI22" i="1"/>
  <c r="AI21" i="1"/>
  <c r="AA31" i="1"/>
  <c r="AA28" i="1"/>
  <c r="AA24" i="1"/>
  <c r="AE21" i="1"/>
  <c r="AC20" i="1"/>
  <c r="AG20" i="1"/>
  <c r="AG15" i="1"/>
  <c r="AG16" i="1"/>
  <c r="AI15" i="1"/>
  <c r="AI13" i="1"/>
  <c r="AA30" i="1"/>
  <c r="AA20" i="1"/>
  <c r="AA26" i="1"/>
  <c r="AC16" i="1"/>
  <c r="AG21" i="1"/>
  <c r="AI30" i="1"/>
  <c r="AI28" i="1"/>
  <c r="AA19" i="1"/>
  <c r="AA25" i="1"/>
  <c r="AE25" i="1"/>
  <c r="Y25" i="1"/>
  <c r="AE27" i="1"/>
  <c r="AE20" i="1"/>
  <c r="AF13" i="1"/>
  <c r="AE23" i="1"/>
  <c r="AE28" i="1"/>
  <c r="AE16" i="1"/>
  <c r="AE22" i="1"/>
  <c r="AE29" i="1"/>
  <c r="AE14" i="1"/>
  <c r="AF16" i="1"/>
  <c r="AH19" i="1"/>
  <c r="AM14" i="1"/>
  <c r="AF27" i="1"/>
  <c r="Y23" i="1"/>
  <c r="Y24" i="1"/>
  <c r="X18" i="1"/>
  <c r="AH31" i="1"/>
  <c r="AJ25" i="1"/>
  <c r="AE31" i="1"/>
  <c r="AE13" i="1"/>
  <c r="X20" i="1"/>
  <c r="AM18" i="1"/>
  <c r="AO25" i="1"/>
  <c r="AL17" i="1"/>
  <c r="AP16" i="1"/>
  <c r="AM28" i="1"/>
  <c r="AO23" i="1"/>
  <c r="AO24" i="1"/>
  <c r="X31" i="1"/>
  <c r="AB30" i="1"/>
  <c r="AP30" i="1"/>
  <c r="X29" i="1"/>
  <c r="AB29" i="1"/>
  <c r="AP14" i="1"/>
  <c r="AP23" i="1"/>
  <c r="AP19" i="1"/>
  <c r="AL29" i="1"/>
  <c r="AL20" i="1"/>
  <c r="AL16" i="1"/>
  <c r="AM26" i="1"/>
  <c r="AM25" i="1"/>
  <c r="AB24" i="1"/>
  <c r="AB22" i="1"/>
  <c r="AB31" i="1"/>
  <c r="AO13" i="1"/>
  <c r="AO15" i="1"/>
  <c r="AO16" i="1"/>
  <c r="AC21" i="1"/>
  <c r="AC13" i="1"/>
  <c r="Z25" i="1"/>
  <c r="Z15" i="1"/>
  <c r="Z29" i="1"/>
  <c r="AM19" i="1"/>
  <c r="AM17" i="1"/>
  <c r="AB27" i="1"/>
  <c r="AB14" i="1"/>
  <c r="AB23" i="1"/>
  <c r="AO29" i="1"/>
  <c r="AO17" i="1"/>
  <c r="AP22" i="1"/>
  <c r="AP15" i="1"/>
  <c r="AP29" i="1"/>
  <c r="AL21" i="1"/>
  <c r="AL31" i="1"/>
  <c r="AM24" i="1"/>
  <c r="AM15" i="1"/>
  <c r="AB28" i="1"/>
  <c r="AB15" i="1"/>
  <c r="AP28" i="1"/>
  <c r="AC29" i="1"/>
  <c r="AC31" i="1"/>
  <c r="Z26" i="1"/>
  <c r="Z20" i="1"/>
  <c r="Z13" i="1"/>
  <c r="AM16" i="1"/>
  <c r="AM20" i="1"/>
  <c r="AB19" i="1"/>
  <c r="AB21" i="1"/>
  <c r="AO20" i="1"/>
  <c r="AO27" i="1"/>
  <c r="AP31" i="1"/>
  <c r="AP20" i="1"/>
  <c r="AP13" i="1"/>
  <c r="AL13" i="1"/>
  <c r="AL25" i="1"/>
  <c r="X17" i="1"/>
  <c r="X19" i="1"/>
  <c r="AP21" i="1"/>
  <c r="AC24" i="1"/>
  <c r="AC23" i="1"/>
  <c r="Z30" i="1"/>
  <c r="Z14" i="1"/>
  <c r="AM23" i="1"/>
  <c r="AM29" i="1"/>
  <c r="AM30" i="1"/>
  <c r="AB20" i="1"/>
  <c r="AB13" i="1"/>
  <c r="AO26" i="1"/>
  <c r="AO19" i="1"/>
  <c r="AP25" i="1"/>
  <c r="AP27" i="1"/>
  <c r="AL27" i="1"/>
  <c r="X30" i="1"/>
  <c r="AO22" i="1"/>
  <c r="AL28" i="1"/>
  <c r="AC22" i="1"/>
  <c r="AC15" i="1"/>
  <c r="Z17" i="1"/>
  <c r="Z27" i="1"/>
  <c r="AM31" i="1"/>
  <c r="AM21" i="1"/>
  <c r="AM22" i="1"/>
  <c r="AB25" i="1"/>
  <c r="AB26" i="1"/>
  <c r="AO18" i="1"/>
  <c r="AO30" i="1"/>
  <c r="AP18" i="1"/>
  <c r="AP24" i="1"/>
  <c r="AL19" i="1"/>
  <c r="X22" i="1"/>
  <c r="AB16" i="1"/>
  <c r="AO28" i="1"/>
  <c r="AL15" i="1"/>
  <c r="AC25" i="1"/>
  <c r="AC14" i="1"/>
  <c r="Z31" i="1"/>
  <c r="AM27" i="1"/>
  <c r="AM13" i="1"/>
  <c r="AB17" i="1"/>
  <c r="AO21" i="1"/>
  <c r="AO31" i="1"/>
  <c r="AP26" i="1"/>
  <c r="AL24" i="1"/>
  <c r="X28" i="1"/>
  <c r="X14" i="1"/>
  <c r="AF31" i="1"/>
  <c r="AF21" i="1"/>
  <c r="AF17" i="1"/>
  <c r="AH17" i="1"/>
  <c r="AH14" i="1"/>
  <c r="Y13" i="1"/>
  <c r="Y31" i="1"/>
  <c r="Y30" i="1"/>
  <c r="AF28" i="1"/>
  <c r="AF26" i="1"/>
  <c r="AF19" i="1"/>
  <c r="AH26" i="1"/>
  <c r="AH24" i="1"/>
  <c r="Y28" i="1"/>
  <c r="Y15" i="1"/>
  <c r="Y16" i="1"/>
  <c r="AF23" i="1"/>
  <c r="AF18" i="1"/>
  <c r="AH18" i="1"/>
  <c r="AH16" i="1"/>
  <c r="Y21" i="1"/>
  <c r="Y17" i="1"/>
  <c r="AF24" i="1"/>
  <c r="AF25" i="1"/>
  <c r="AH23" i="1"/>
  <c r="AH27" i="1"/>
  <c r="Y29" i="1"/>
  <c r="Y22" i="1"/>
  <c r="AF15" i="1"/>
  <c r="AF30" i="1"/>
  <c r="AH30" i="1"/>
  <c r="AH15" i="1"/>
  <c r="AH29" i="1"/>
  <c r="Y20" i="1"/>
  <c r="Y14" i="1"/>
  <c r="AL22" i="1"/>
  <c r="AL18" i="1"/>
  <c r="X23" i="1"/>
  <c r="X21" i="1"/>
  <c r="X25" i="1"/>
  <c r="AF20" i="1"/>
  <c r="AF22" i="1"/>
  <c r="AH25" i="1"/>
  <c r="AH28" i="1"/>
  <c r="AH21" i="1"/>
  <c r="Y26" i="1"/>
  <c r="Y27" i="1"/>
  <c r="AL30" i="1"/>
  <c r="AL23" i="1"/>
  <c r="X15" i="1"/>
  <c r="X13" i="1"/>
  <c r="X27" i="1"/>
  <c r="AF29" i="1"/>
  <c r="AH22" i="1"/>
  <c r="AH20" i="1"/>
  <c r="Y18" i="1"/>
  <c r="AL26" i="1"/>
  <c r="X24" i="1"/>
  <c r="X26" i="1"/>
  <c r="D30" i="2"/>
  <c r="H28" i="2" s="1"/>
  <c r="J28" i="2" s="1"/>
  <c r="E21" i="2"/>
  <c r="D21" i="2"/>
  <c r="E20" i="2"/>
  <c r="E19" i="2"/>
  <c r="D19" i="2"/>
  <c r="F19" i="2"/>
  <c r="D20" i="2"/>
  <c r="F21" i="2"/>
  <c r="F23" i="2" s="1"/>
  <c r="H31" i="2" l="1"/>
  <c r="D23" i="2"/>
  <c r="F24" i="2"/>
  <c r="E24" i="2"/>
  <c r="F22" i="2"/>
  <c r="D22" i="2"/>
  <c r="E23" i="2"/>
  <c r="E22" i="2"/>
  <c r="D24" i="2"/>
</calcChain>
</file>

<file path=xl/sharedStrings.xml><?xml version="1.0" encoding="utf-8"?>
<sst xmlns="http://schemas.openxmlformats.org/spreadsheetml/2006/main" count="195" uniqueCount="102">
  <si>
    <t>Costanti</t>
  </si>
  <si>
    <t>f2</t>
  </si>
  <si>
    <t>D</t>
  </si>
  <si>
    <t>a</t>
  </si>
  <si>
    <t>D+a</t>
  </si>
  <si>
    <t>D^2 circa</t>
  </si>
  <si>
    <t>Giri/min iniziali</t>
  </si>
  <si>
    <t>Giri/min finali</t>
  </si>
  <si>
    <t>omega0</t>
  </si>
  <si>
    <t>omega</t>
  </si>
  <si>
    <t>Errore giri/min</t>
  </si>
  <si>
    <t>Errore omega</t>
  </si>
  <si>
    <t>errore delta</t>
  </si>
  <si>
    <t>delta</t>
  </si>
  <si>
    <t>Contributi all'errore finale</t>
  </si>
  <si>
    <t>c</t>
  </si>
  <si>
    <t>errore</t>
  </si>
  <si>
    <t>errori</t>
  </si>
  <si>
    <t>errors</t>
  </si>
  <si>
    <t>values</t>
  </si>
  <si>
    <t>n</t>
  </si>
  <si>
    <t>Distanze</t>
  </si>
  <si>
    <t>D1</t>
  </si>
  <si>
    <t>D2</t>
  </si>
  <si>
    <t>D3</t>
  </si>
  <si>
    <t>f</t>
  </si>
  <si>
    <t>misura</t>
  </si>
  <si>
    <t>errore relativo</t>
  </si>
  <si>
    <t>distanze focali</t>
  </si>
  <si>
    <t>lente 1</t>
  </si>
  <si>
    <t>lente 2</t>
  </si>
  <si>
    <t>delta 1</t>
  </si>
  <si>
    <t>delta 2</t>
  </si>
  <si>
    <t>specchio mobile</t>
  </si>
  <si>
    <t>slente due</t>
  </si>
  <si>
    <t>errore percentuale</t>
  </si>
  <si>
    <t>z</t>
  </si>
  <si>
    <t>clockwise</t>
  </si>
  <si>
    <t>counterclockwise</t>
  </si>
  <si>
    <t>p</t>
  </si>
  <si>
    <t>C simple average</t>
  </si>
  <si>
    <t>C dev</t>
  </si>
  <si>
    <t>errore sistematico</t>
  </si>
  <si>
    <t>Errore totale</t>
  </si>
  <si>
    <t>C</t>
  </si>
  <si>
    <t>Errore strumentale</t>
  </si>
  <si>
    <t>sums</t>
  </si>
  <si>
    <t>C weighted</t>
  </si>
  <si>
    <t>C strum error</t>
  </si>
  <si>
    <t>C random error</t>
  </si>
  <si>
    <t>C error percent</t>
  </si>
  <si>
    <t>C dev media</t>
  </si>
  <si>
    <t>C tot error</t>
  </si>
  <si>
    <t>C relative error</t>
  </si>
  <si>
    <t>errore strum</t>
  </si>
  <si>
    <t>C error per</t>
  </si>
  <si>
    <t>Error</t>
  </si>
  <si>
    <t>p*c</t>
  </si>
  <si>
    <t>C final</t>
  </si>
  <si>
    <t>C error strum</t>
  </si>
  <si>
    <t>C error random</t>
  </si>
  <si>
    <t>C dev med</t>
  </si>
  <si>
    <t>C error tot</t>
  </si>
  <si>
    <t>C dev std</t>
  </si>
  <si>
    <t>error</t>
  </si>
  <si>
    <t>Error rel</t>
  </si>
  <si>
    <t>C 1</t>
  </si>
  <si>
    <t>C 2</t>
  </si>
  <si>
    <t>C 3</t>
  </si>
  <si>
    <t>measure</t>
  </si>
  <si>
    <t>C final error</t>
  </si>
  <si>
    <t>C error rel</t>
  </si>
  <si>
    <t>C vero</t>
  </si>
  <si>
    <t>Hz iniziali</t>
  </si>
  <si>
    <t>error strum rel</t>
  </si>
  <si>
    <t>error rand rel</t>
  </si>
  <si>
    <t>Error strum rel</t>
  </si>
  <si>
    <t>Error rand rel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</si>
  <si>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</si>
  <si>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</si>
  <si>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</si>
  <si>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</si>
  <si>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</si>
  <si>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</si>
  <si>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</si>
  <si>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</si>
  <si>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</si>
  <si>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</si>
  <si>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</si>
  <si>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</si>
  <si>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</si>
  <si>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</si>
  <si>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</si>
  <si>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</si>
  <si>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</si>
  <si>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</si>
  <si>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</si>
  <si>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Strum error rel</t>
  </si>
  <si>
    <t>random error rel</t>
  </si>
  <si>
    <t>C rel error</t>
  </si>
  <si>
    <t>clock to counter</t>
  </si>
  <si>
    <t>Column20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</si>
</sst>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E+00"/>
  </numFmts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3" borderId="0" xfId="0" applyFill="1"/>
    <xf numFmtId="0" fontId="0" fillId="4" borderId="3" xfId="0" applyFont="1" applyFill="1" applyBorder="1"/>
    <xf numFmtId="0" fontId="0" fillId="5" borderId="3" xfId="0" applyFont="1" applyFill="1" applyBorder="1"/>
    <xf numFmtId="0" fontId="0" fillId="0" borderId="4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1" xfId="0" applyFill="1" applyBorder="1"/>
    <xf numFmtId="0" fontId="0" fillId="5" borderId="8" xfId="0" applyFont="1" applyFill="1" applyBorder="1"/>
    <xf numFmtId="0" fontId="0" fillId="3" borderId="7" xfId="0" applyFill="1" applyBorder="1"/>
    <xf numFmtId="0" fontId="0" fillId="5" borderId="10" xfId="0" applyFont="1" applyFill="1" applyBorder="1"/>
    <xf numFmtId="0" fontId="0" fillId="4" borderId="11" xfId="0" applyFont="1" applyFill="1" applyBorder="1"/>
    <xf numFmtId="0" fontId="0" fillId="5" borderId="11" xfId="0" applyFont="1" applyFill="1" applyBorder="1"/>
    <xf numFmtId="0" fontId="0" fillId="3" borderId="9" xfId="0" applyFill="1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3" borderId="13" xfId="0" applyFill="1" applyBorder="1"/>
    <xf numFmtId="0" fontId="0" fillId="3" borderId="14" xfId="0" applyFill="1" applyBorder="1"/>
    <xf numFmtId="2" fontId="0" fillId="5" borderId="10" xfId="0" applyNumberFormat="1" applyFont="1" applyFill="1" applyBorder="1"/>
    <xf numFmtId="2" fontId="0" fillId="5" borderId="8" xfId="0" applyNumberFormat="1" applyFont="1" applyFill="1" applyBorder="1"/>
    <xf numFmtId="2" fontId="0" fillId="4" borderId="11" xfId="0" applyNumberFormat="1" applyFont="1" applyFill="1" applyBorder="1"/>
    <xf numFmtId="2" fontId="0" fillId="4" borderId="3" xfId="0" applyNumberFormat="1" applyFont="1" applyFill="1" applyBorder="1"/>
    <xf numFmtId="2" fontId="0" fillId="5" borderId="11" xfId="0" applyNumberFormat="1" applyFont="1" applyFill="1" applyBorder="1"/>
    <xf numFmtId="2" fontId="0" fillId="5" borderId="3" xfId="0" applyNumberFormat="1" applyFont="1" applyFill="1" applyBorder="1"/>
    <xf numFmtId="1" fontId="0" fillId="0" borderId="0" xfId="0" applyNumberFormat="1"/>
    <xf numFmtId="165" fontId="0" fillId="3" borderId="7" xfId="0" applyNumberFormat="1" applyFill="1" applyBorder="1"/>
    <xf numFmtId="165" fontId="0" fillId="3" borderId="9" xfId="0" applyNumberFormat="1" applyFill="1" applyBorder="1"/>
    <xf numFmtId="0" fontId="2" fillId="0" borderId="0" xfId="0" applyFont="1"/>
    <xf numFmtId="49" fontId="0" fillId="0" borderId="0" xfId="0" applyNumberFormat="1"/>
    <xf numFmtId="11" fontId="0" fillId="3" borderId="14" xfId="0" applyNumberFormat="1" applyFill="1" applyBorder="1" applyAlignment="1">
      <alignment horizontal="right"/>
    </xf>
    <xf numFmtId="0" fontId="0" fillId="0" borderId="0" xfId="0" applyBorder="1"/>
    <xf numFmtId="0" fontId="0" fillId="3" borderId="15" xfId="0" applyFill="1" applyBorder="1"/>
    <xf numFmtId="165" fontId="0" fillId="3" borderId="12" xfId="0" applyNumberFormat="1" applyFill="1" applyBorder="1" applyAlignment="1">
      <alignment horizontal="right"/>
    </xf>
    <xf numFmtId="0" fontId="0" fillId="5" borderId="0" xfId="0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164" fontId="0" fillId="5" borderId="0" xfId="0" applyNumberFormat="1" applyFont="1" applyFill="1" applyBorder="1"/>
  </cellXfs>
  <cellStyles count="1">
    <cellStyle name="Normal" xfId="0" builtinId="0"/>
  </cellStyles>
  <dxfs count="20">
    <dxf>
      <fill>
        <patternFill>
          <bgColor theme="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18527175412665"/>
          <c:y val="3.1399912385928076E-2"/>
          <c:w val="0.76959858074276355"/>
          <c:h val="0.84184918287178612"/>
        </c:manualLayout>
      </c:layout>
      <c:scatterChart>
        <c:scatterStyle val="lineMarker"/>
        <c:varyColors val="0"/>
        <c:ser>
          <c:idx val="0"/>
          <c:order val="0"/>
          <c:tx>
            <c:v>Velocità misurata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c'!$V$13:$V$42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</c:numCache>
              </c:numRef>
            </c:plus>
            <c:minus>
              <c:numRef>
                <c:f>'Misura di c'!$V$13:$V$41</c:f>
                <c:numCache>
                  <c:formatCode>General</c:formatCode>
                  <c:ptCount val="2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c'!$U$13:$U$31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'Misura di c'!$W$13:$W$31</c:f>
              <c:numCache>
                <c:formatCode>0.000E+00</c:formatCode>
                <c:ptCount val="19"/>
                <c:pt idx="0">
                  <c:v>309870816.46394759</c:v>
                </c:pt>
                <c:pt idx="1">
                  <c:v>281275050.09719002</c:v>
                </c:pt>
                <c:pt idx="2">
                  <c:v>309507118.32256031</c:v>
                </c:pt>
                <c:pt idx="3">
                  <c:v>301505759.21198887</c:v>
                </c:pt>
                <c:pt idx="4">
                  <c:v>284411946.56667447</c:v>
                </c:pt>
                <c:pt idx="5">
                  <c:v>298429069.52942133</c:v>
                </c:pt>
                <c:pt idx="6">
                  <c:v>282159815.76806962</c:v>
                </c:pt>
                <c:pt idx="7">
                  <c:v>301522290.94568545</c:v>
                </c:pt>
                <c:pt idx="8">
                  <c:v>281400525.95596993</c:v>
                </c:pt>
                <c:pt idx="9">
                  <c:v>291236072.21959162</c:v>
                </c:pt>
                <c:pt idx="10">
                  <c:v>286801962.92437816</c:v>
                </c:pt>
                <c:pt idx="11">
                  <c:v>306254040.50235146</c:v>
                </c:pt>
                <c:pt idx="12">
                  <c:v>303930413.48791933</c:v>
                </c:pt>
                <c:pt idx="13">
                  <c:v>298881234.78628403</c:v>
                </c:pt>
                <c:pt idx="14">
                  <c:v>297298656.3872658</c:v>
                </c:pt>
                <c:pt idx="15">
                  <c:v>293657536.16094887</c:v>
                </c:pt>
                <c:pt idx="16">
                  <c:v>296959532.4446184</c:v>
                </c:pt>
                <c:pt idx="17">
                  <c:v>287273676.67918909</c:v>
                </c:pt>
                <c:pt idx="18">
                  <c:v>290795806.04843587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4-4331-8644-7D9C2B6A8D62}"/>
            </c:ext>
          </c:extLst>
        </c:ser>
        <c:ser>
          <c:idx val="1"/>
          <c:order val="1"/>
          <c:tx>
            <c:v>Velocità teorica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c'!$U$13:$U$31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'Misura di c'!$AQ$13:$AQ$31</c:f>
              <c:numCache>
                <c:formatCode>General</c:formatCode>
                <c:ptCount val="19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  <c:pt idx="10">
                  <c:v>299711535.88531095</c:v>
                </c:pt>
                <c:pt idx="11">
                  <c:v>299711535.88531095</c:v>
                </c:pt>
                <c:pt idx="12">
                  <c:v>299711535.88531095</c:v>
                </c:pt>
                <c:pt idx="13">
                  <c:v>299711535.88531095</c:v>
                </c:pt>
                <c:pt idx="14">
                  <c:v>299711535.88531095</c:v>
                </c:pt>
                <c:pt idx="15">
                  <c:v>299711535.88531095</c:v>
                </c:pt>
                <c:pt idx="16">
                  <c:v>299711535.88531095</c:v>
                </c:pt>
                <c:pt idx="17">
                  <c:v>299711535.88531095</c:v>
                </c:pt>
                <c:pt idx="18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1-4113-AC44-4631ED727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</a:t>
                </a:r>
                <a:r>
                  <a:rPr lang="it-IT" baseline="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609439058916373"/>
          <c:y val="0.36333856815050919"/>
          <c:w val="0.10501892444055286"/>
          <c:h val="0.19910466420187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14909932411248"/>
          <c:y val="3.88845884816445E-2"/>
          <c:w val="0.67483563662877533"/>
          <c:h val="0.80415138212862092"/>
        </c:manualLayout>
      </c:layout>
      <c:scatterChart>
        <c:scatterStyle val="lineMarker"/>
        <c:varyColors val="0"/>
        <c:ser>
          <c:idx val="0"/>
          <c:order val="0"/>
          <c:tx>
            <c:v>Velocità misurata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 (2)'!$V$13:$V$22</c:f>
                <c:numCache>
                  <c:formatCode>General</c:formatCode>
                  <c:ptCount val="10"/>
                  <c:pt idx="0">
                    <c:v>15812300.704236746</c:v>
                  </c:pt>
                  <c:pt idx="1">
                    <c:v>15400431.86508647</c:v>
                  </c:pt>
                  <c:pt idx="2">
                    <c:v>15735194.655382873</c:v>
                  </c:pt>
                  <c:pt idx="3">
                    <c:v>15395737.343706436</c:v>
                  </c:pt>
                  <c:pt idx="4">
                    <c:v>15413223.631328139</c:v>
                  </c:pt>
                  <c:pt idx="5">
                    <c:v>15760421.206456292</c:v>
                  </c:pt>
                  <c:pt idx="6">
                    <c:v>15749375.530169958</c:v>
                  </c:pt>
                  <c:pt idx="7">
                    <c:v>15601041.522445589</c:v>
                  </c:pt>
                  <c:pt idx="8">
                    <c:v>15876037.546300896</c:v>
                  </c:pt>
                  <c:pt idx="9">
                    <c:v>15665562.061049121</c:v>
                  </c:pt>
                </c:numCache>
              </c:numRef>
            </c:plus>
            <c:minus>
              <c:numRef>
                <c:f>'Misura di c (2)'!$V$13:$V$22</c:f>
                <c:numCache>
                  <c:formatCode>General</c:formatCode>
                  <c:ptCount val="10"/>
                  <c:pt idx="0">
                    <c:v>15812300.704236746</c:v>
                  </c:pt>
                  <c:pt idx="1">
                    <c:v>15400431.86508647</c:v>
                  </c:pt>
                  <c:pt idx="2">
                    <c:v>15735194.655382873</c:v>
                  </c:pt>
                  <c:pt idx="3">
                    <c:v>15395737.343706436</c:v>
                  </c:pt>
                  <c:pt idx="4">
                    <c:v>15413223.631328139</c:v>
                  </c:pt>
                  <c:pt idx="5">
                    <c:v>15760421.206456292</c:v>
                  </c:pt>
                  <c:pt idx="6">
                    <c:v>15749375.530169958</c:v>
                  </c:pt>
                  <c:pt idx="7">
                    <c:v>15601041.522445589</c:v>
                  </c:pt>
                  <c:pt idx="8">
                    <c:v>15876037.546300896</c:v>
                  </c:pt>
                  <c:pt idx="9">
                    <c:v>15665562.061049121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(2)'!$W$13:$W$22</c:f>
              <c:numCache>
                <c:formatCode>General</c:formatCode>
                <c:ptCount val="10"/>
                <c:pt idx="0">
                  <c:v>319465519.81298906</c:v>
                </c:pt>
                <c:pt idx="1">
                  <c:v>288776324.26335239</c:v>
                </c:pt>
                <c:pt idx="2">
                  <c:v>313888814.97834831</c:v>
                </c:pt>
                <c:pt idx="3">
                  <c:v>288412626.12196279</c:v>
                </c:pt>
                <c:pt idx="4">
                  <c:v>289765583.20793098</c:v>
                </c:pt>
                <c:pt idx="5">
                  <c:v>315721160.85258794</c:v>
                </c:pt>
                <c:pt idx="6">
                  <c:v>314919802.42676944</c:v>
                </c:pt>
                <c:pt idx="7">
                  <c:v>304010080.69984245</c:v>
                </c:pt>
                <c:pt idx="8">
                  <c:v>324022952.9656682</c:v>
                </c:pt>
                <c:pt idx="9">
                  <c:v>308790113.41524875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59-4EC9-9CD8-EBEE95229788}"/>
            </c:ext>
          </c:extLst>
        </c:ser>
        <c:ser>
          <c:idx val="1"/>
          <c:order val="1"/>
          <c:tx>
            <c:v>Velocità teorica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(2)'!$AH$13:$AH$22</c:f>
              <c:numCache>
                <c:formatCode>General</c:formatCode>
                <c:ptCount val="10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59-4EC9-9CD8-EBEE95229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328080"/>
        <c:axId val="398329392"/>
      </c:scatterChart>
      <c:valAx>
        <c:axId val="39832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329392"/>
        <c:crosses val="autoZero"/>
        <c:crossBetween val="midCat"/>
      </c:valAx>
      <c:valAx>
        <c:axId val="398329392"/>
        <c:scaling>
          <c:orientation val="minMax"/>
          <c:min val="2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</a:t>
                </a:r>
                <a:r>
                  <a:rPr lang="it-IT" baseline="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32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65607175451774"/>
          <c:y val="0.35117515238611369"/>
          <c:w val="0.13377717684256091"/>
          <c:h val="0.249778229807639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13392262185"/>
          <c:y val="3.6282331076141212E-2"/>
          <c:w val="0.73349208345459238"/>
          <c:h val="0.81725807905184944"/>
        </c:manualLayout>
      </c:layout>
      <c:scatterChart>
        <c:scatterStyle val="lineMarker"/>
        <c:varyColors val="0"/>
        <c:ser>
          <c:idx val="0"/>
          <c:order val="0"/>
          <c:tx>
            <c:v>Valori misurati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 (3)'!$V$13:$V$22</c:f>
                <c:numCache>
                  <c:formatCode>General</c:formatCode>
                  <c:ptCount val="10"/>
                  <c:pt idx="0">
                    <c:v>7740692.4201386422</c:v>
                  </c:pt>
                  <c:pt idx="1">
                    <c:v>7897187.0697444165</c:v>
                  </c:pt>
                  <c:pt idx="2">
                    <c:v>7643325.2198853306</c:v>
                  </c:pt>
                  <c:pt idx="3">
                    <c:v>7649276.6296331473</c:v>
                  </c:pt>
                  <c:pt idx="4">
                    <c:v>7786179.6784976404</c:v>
                  </c:pt>
                  <c:pt idx="5">
                    <c:v>7716293.0193562405</c:v>
                  </c:pt>
                  <c:pt idx="6">
                    <c:v>7869331.0947507741</c:v>
                  </c:pt>
                  <c:pt idx="7">
                    <c:v>7806242.9178525228</c:v>
                  </c:pt>
                  <c:pt idx="8">
                    <c:v>7721781.1367241852</c:v>
                  </c:pt>
                  <c:pt idx="9">
                    <c:v>7872127.5876771258</c:v>
                  </c:pt>
                </c:numCache>
              </c:numRef>
            </c:plus>
            <c:minus>
              <c:numRef>
                <c:f>'Misura di c (3)'!$V$13:$V$22</c:f>
                <c:numCache>
                  <c:formatCode>General</c:formatCode>
                  <c:ptCount val="10"/>
                  <c:pt idx="0">
                    <c:v>7740692.4201386422</c:v>
                  </c:pt>
                  <c:pt idx="1">
                    <c:v>7897187.0697444165</c:v>
                  </c:pt>
                  <c:pt idx="2">
                    <c:v>7643325.2198853306</c:v>
                  </c:pt>
                  <c:pt idx="3">
                    <c:v>7649276.6296331473</c:v>
                  </c:pt>
                  <c:pt idx="4">
                    <c:v>7786179.6784976404</c:v>
                  </c:pt>
                  <c:pt idx="5">
                    <c:v>7716293.0193562405</c:v>
                  </c:pt>
                  <c:pt idx="6">
                    <c:v>7869331.0947507741</c:v>
                  </c:pt>
                  <c:pt idx="7">
                    <c:v>7806242.9178525228</c:v>
                  </c:pt>
                  <c:pt idx="8">
                    <c:v>7721781.1367241852</c:v>
                  </c:pt>
                  <c:pt idx="9">
                    <c:v>7872127.5876771258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(3)'!$U$13:$U$22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(3)'!$W$13:$W$22</c:f>
              <c:numCache>
                <c:formatCode>General</c:formatCode>
                <c:ptCount val="10"/>
                <c:pt idx="0">
                  <c:v>294961509.21564645</c:v>
                </c:pt>
                <c:pt idx="1">
                  <c:v>300924786.85626167</c:v>
                </c:pt>
                <c:pt idx="2">
                  <c:v>291251301.55255669</c:v>
                </c:pt>
                <c:pt idx="3">
                  <c:v>291478081.88510293</c:v>
                </c:pt>
                <c:pt idx="4">
                  <c:v>296694815.44297379</c:v>
                </c:pt>
                <c:pt idx="5">
                  <c:v>294031762.40643191</c:v>
                </c:pt>
                <c:pt idx="6">
                  <c:v>299863326.2040568</c:v>
                </c:pt>
                <c:pt idx="7">
                  <c:v>297459331.46281648</c:v>
                </c:pt>
                <c:pt idx="8">
                  <c:v>294240888.83773029</c:v>
                </c:pt>
                <c:pt idx="9">
                  <c:v>299969887.44293529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C-4E48-8D26-300160021CAE}"/>
            </c:ext>
          </c:extLst>
        </c:ser>
        <c:ser>
          <c:idx val="1"/>
          <c:order val="1"/>
          <c:tx>
            <c:v>Velocità teorica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 (3)'!$U$13:$U$22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(3)'!$AH$12:$AH$22</c:f>
              <c:numCache>
                <c:formatCode>General</c:formatCode>
                <c:ptCount val="11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  <c:pt idx="10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DC-4E48-8D26-300160021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509480"/>
        <c:axId val="221508824"/>
      </c:scatterChart>
      <c:valAx>
        <c:axId val="22150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1508824"/>
        <c:crosses val="autoZero"/>
        <c:crossBetween val="midCat"/>
      </c:valAx>
      <c:valAx>
        <c:axId val="22150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1509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228117846126008"/>
          <c:y val="0.44433908630338104"/>
          <c:w val="0.10704709369076804"/>
          <c:h val="0.213571773437230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550324</xdr:colOff>
      <xdr:row>33</xdr:row>
      <xdr:rowOff>84843</xdr:rowOff>
    </xdr:from>
    <xdr:to>
      <xdr:col>32</xdr:col>
      <xdr:colOff>628650</xdr:colOff>
      <xdr:row>56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3E401-5D88-43ED-8E18-3C96D341C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609535</xdr:colOff>
      <xdr:row>1</xdr:row>
      <xdr:rowOff>23532</xdr:rowOff>
    </xdr:from>
    <xdr:to>
      <xdr:col>46</xdr:col>
      <xdr:colOff>607440</xdr:colOff>
      <xdr:row>19</xdr:row>
      <xdr:rowOff>187215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32805D-7C9C-4664-BDB3-2CFE40DB9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173182</xdr:colOff>
      <xdr:row>34</xdr:row>
      <xdr:rowOff>100444</xdr:rowOff>
    </xdr:from>
    <xdr:to>
      <xdr:col>26</xdr:col>
      <xdr:colOff>198783</xdr:colOff>
      <xdr:row>54</xdr:row>
      <xdr:rowOff>140803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F1D34-60DA-40A2-B882-122BDEEED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V26:AO54" totalsRowShown="0">
  <autoFilter ref="V26:AO54"/>
  <tableColumns count="20">
    <tableColumn id="1" name="Column1" dataDxfId="19"/>
    <tableColumn id="2" name="Column2" dataDxfId="18"/>
    <tableColumn id="3" name="Column3" dataDxfId="17"/>
    <tableColumn id="4" name="Column4" dataDxfId="16"/>
    <tableColumn id="5" name="Column5" dataDxfId="15"/>
    <tableColumn id="6" name="Column6" dataDxfId="14"/>
    <tableColumn id="7" name="Column7" dataDxfId="13"/>
    <tableColumn id="8" name="Column8" dataDxfId="12"/>
    <tableColumn id="9" name="Column9" dataDxfId="11"/>
    <tableColumn id="10" name="Column10" dataDxfId="10"/>
    <tableColumn id="11" name="Column11" dataDxfId="9"/>
    <tableColumn id="12" name="Column12" dataDxfId="8"/>
    <tableColumn id="13" name="Column13" dataDxfId="7"/>
    <tableColumn id="14" name="Column14" dataDxfId="6"/>
    <tableColumn id="15" name="Column15" dataDxfId="5"/>
    <tableColumn id="16" name="Column16" dataDxfId="4"/>
    <tableColumn id="17" name="Column17" dataDxfId="3"/>
    <tableColumn id="18" name="Column18" dataDxfId="2"/>
    <tableColumn id="19" name="Column19" dataDxfId="1"/>
    <tableColumn id="20" name="Column2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P8" sqref="P8"/>
    </sheetView>
  </sheetViews>
  <sheetFormatPr defaultRowHeight="15"/>
  <cols>
    <col min="1" max="1" width="12" bestFit="1" customWidth="1"/>
    <col min="2" max="3" width="11.7109375" bestFit="1" customWidth="1"/>
    <col min="4" max="4" width="12.7109375" customWidth="1"/>
    <col min="5" max="6" width="11.7109375" bestFit="1" customWidth="1"/>
    <col min="8" max="9" width="11.5703125" bestFit="1" customWidth="1"/>
    <col min="10" max="10" width="10.5703125" bestFit="1" customWidth="1"/>
    <col min="14" max="22" width="11" customWidth="1"/>
  </cols>
  <sheetData>
    <row r="1" spans="1:11">
      <c r="A1" t="s">
        <v>21</v>
      </c>
    </row>
    <row r="2" spans="1:11">
      <c r="B2" t="s">
        <v>26</v>
      </c>
      <c r="C2" t="s">
        <v>16</v>
      </c>
      <c r="D2" t="s">
        <v>27</v>
      </c>
    </row>
    <row r="3" spans="1:11">
      <c r="A3" t="s">
        <v>22</v>
      </c>
      <c r="B3">
        <v>6.3</v>
      </c>
      <c r="C3" s="1">
        <v>0.04</v>
      </c>
      <c r="D3" s="1">
        <f>C3/B3</f>
        <v>6.3492063492063492E-3</v>
      </c>
    </row>
    <row r="4" spans="1:11">
      <c r="A4" t="s">
        <v>23</v>
      </c>
      <c r="B4">
        <v>0.6</v>
      </c>
      <c r="C4" s="1">
        <v>0.02</v>
      </c>
      <c r="D4" s="1">
        <f t="shared" ref="D4:D8" si="0">C4/B4</f>
        <v>3.3333333333333333E-2</v>
      </c>
    </row>
    <row r="5" spans="1:11">
      <c r="A5" t="s">
        <v>24</v>
      </c>
      <c r="B5">
        <v>6.53</v>
      </c>
      <c r="C5" s="1">
        <v>0.04</v>
      </c>
      <c r="D5" s="1">
        <f t="shared" si="0"/>
        <v>6.1255742725880554E-3</v>
      </c>
    </row>
    <row r="6" spans="1:11">
      <c r="A6" t="s">
        <v>2</v>
      </c>
      <c r="B6">
        <f>(B5+B4+B3)</f>
        <v>13.43</v>
      </c>
      <c r="C6" s="1">
        <f>SQRT(3)*2*(C5+C4+C3)</f>
        <v>0.34641016151377546</v>
      </c>
      <c r="D6" s="1">
        <f t="shared" si="0"/>
        <v>2.5793757372581941E-2</v>
      </c>
    </row>
    <row r="7" spans="1:11">
      <c r="A7" t="s">
        <v>3</v>
      </c>
      <c r="B7" s="1">
        <f>B15-B16</f>
        <v>0.47799999999999998</v>
      </c>
      <c r="C7" s="1">
        <f>SQRT(C15^2+C16^2)</f>
        <v>5.0990195135927853E-3</v>
      </c>
      <c r="D7" s="1">
        <f t="shared" si="0"/>
        <v>1.0667404840152271E-2</v>
      </c>
    </row>
    <row r="8" spans="1:11">
      <c r="A8" t="s">
        <v>25</v>
      </c>
      <c r="B8" s="1">
        <f>B13</f>
        <v>0.252</v>
      </c>
      <c r="C8" s="1">
        <f>B8*D8</f>
        <v>2.52E-4</v>
      </c>
      <c r="D8" s="1">
        <v>1E-3</v>
      </c>
    </row>
    <row r="10" spans="1:11">
      <c r="A10" t="s">
        <v>28</v>
      </c>
      <c r="H10" s="4"/>
      <c r="I10" s="4"/>
      <c r="J10" s="4"/>
      <c r="K10" s="4"/>
    </row>
    <row r="11" spans="1:11">
      <c r="H11" s="4"/>
      <c r="I11" s="39"/>
      <c r="J11" s="39"/>
      <c r="K11" s="42"/>
    </row>
    <row r="12" spans="1:11">
      <c r="A12" t="s">
        <v>29</v>
      </c>
      <c r="B12" s="1">
        <v>4.8000000000000001E-2</v>
      </c>
      <c r="H12" s="4"/>
      <c r="I12" s="40"/>
      <c r="J12" s="40"/>
      <c r="K12" s="41"/>
    </row>
    <row r="13" spans="1:11">
      <c r="A13" t="s">
        <v>30</v>
      </c>
      <c r="B13" s="1">
        <v>0.252</v>
      </c>
      <c r="H13" s="4"/>
      <c r="I13" s="39"/>
      <c r="J13" s="42"/>
      <c r="K13" s="42"/>
    </row>
    <row r="15" spans="1:11">
      <c r="A15" t="s">
        <v>33</v>
      </c>
      <c r="B15" s="1">
        <v>0.86499999999999999</v>
      </c>
      <c r="C15" s="1">
        <v>5.0000000000000001E-3</v>
      </c>
    </row>
    <row r="16" spans="1:11">
      <c r="A16" t="s">
        <v>34</v>
      </c>
      <c r="B16" s="1">
        <v>0.38700000000000001</v>
      </c>
      <c r="C16" s="1">
        <v>1E-3</v>
      </c>
    </row>
    <row r="18" spans="1:10">
      <c r="A18" t="s">
        <v>72</v>
      </c>
      <c r="B18">
        <f>299792458/1.000276</f>
        <v>299709738.11228102</v>
      </c>
    </row>
    <row r="19" spans="1:10">
      <c r="D19" t="str">
        <f t="array" ref="D19:F21">TRANSPOSE(A22:C24)</f>
        <v>C 1</v>
      </c>
      <c r="E19" t="str">
        <v>C 2</v>
      </c>
      <c r="F19" t="str">
        <v>C 3</v>
      </c>
    </row>
    <row r="20" spans="1:10">
      <c r="B20" t="s">
        <v>64</v>
      </c>
      <c r="D20">
        <v>2757082.6577762221</v>
      </c>
      <c r="E20">
        <v>6778758.5798564861</v>
      </c>
      <c r="F20">
        <v>2690947.2341200029</v>
      </c>
    </row>
    <row r="21" spans="1:10">
      <c r="C21" t="s">
        <v>69</v>
      </c>
      <c r="D21">
        <v>295577492.43947184</v>
      </c>
      <c r="E21">
        <v>305696150.45887846</v>
      </c>
      <c r="F21">
        <v>296014266.09248412</v>
      </c>
    </row>
    <row r="22" spans="1:10">
      <c r="A22" t="s">
        <v>66</v>
      </c>
      <c r="B22">
        <f>'Misura di c'!G63</f>
        <v>2757082.6577762221</v>
      </c>
      <c r="C22">
        <f>'Misura di c'!B63</f>
        <v>295577492.43947184</v>
      </c>
      <c r="D22">
        <f>(D$21-$C22)/SQRT(D$20^2+$B22^2)</f>
        <v>0</v>
      </c>
      <c r="E22">
        <f t="shared" ref="E22:F22" si="1">(E$21-$C22)/SQRT(E$20^2+$B22^2)</f>
        <v>1.382708782332825</v>
      </c>
      <c r="F22">
        <f t="shared" si="1"/>
        <v>0.11337047126323965</v>
      </c>
    </row>
    <row r="23" spans="1:10">
      <c r="A23" t="s">
        <v>67</v>
      </c>
      <c r="B23">
        <f>'Misura di c (2)'!F41</f>
        <v>6778758.5798564861</v>
      </c>
      <c r="C23">
        <f>'Misura di c (2)'!A41</f>
        <v>305696150.45887846</v>
      </c>
      <c r="D23">
        <f t="shared" ref="D23:F24" si="2">(D$21-$C23)/SQRT(D$20^2+$B23^2)</f>
        <v>-1.382708782332825</v>
      </c>
      <c r="E23">
        <f t="shared" si="2"/>
        <v>0</v>
      </c>
      <c r="F23">
        <f t="shared" si="2"/>
        <v>-1.3274971852550326</v>
      </c>
    </row>
    <row r="24" spans="1:10">
      <c r="A24" t="s">
        <v>68</v>
      </c>
      <c r="B24">
        <f>'Misura di c (3)'!G43</f>
        <v>2690947.2341200029</v>
      </c>
      <c r="C24">
        <f>'Misura di c (3)'!B43</f>
        <v>296014266.09248412</v>
      </c>
      <c r="D24">
        <f t="shared" si="2"/>
        <v>-0.11337047126323965</v>
      </c>
      <c r="E24">
        <f t="shared" si="2"/>
        <v>1.3274971852550326</v>
      </c>
      <c r="F24">
        <f t="shared" si="2"/>
        <v>0</v>
      </c>
    </row>
    <row r="26" spans="1:10">
      <c r="A26" t="s">
        <v>44</v>
      </c>
      <c r="B26" t="s">
        <v>56</v>
      </c>
      <c r="C26" t="s">
        <v>39</v>
      </c>
      <c r="D26" t="s">
        <v>57</v>
      </c>
    </row>
    <row r="27" spans="1:10">
      <c r="A27">
        <f>C22</f>
        <v>295577492.43947184</v>
      </c>
      <c r="B27">
        <f>B22</f>
        <v>2757082.6577762221</v>
      </c>
      <c r="C27">
        <f>B27^-2</f>
        <v>1.3155290020903429E-13</v>
      </c>
      <c r="D27">
        <f>C27*A27</f>
        <v>3.888407636692643E-5</v>
      </c>
      <c r="H27" t="s">
        <v>58</v>
      </c>
      <c r="I27" t="s">
        <v>70</v>
      </c>
      <c r="J27" t="s">
        <v>71</v>
      </c>
    </row>
    <row r="28" spans="1:10">
      <c r="A28">
        <f t="shared" ref="A28:A29" si="3">C23</f>
        <v>305696150.45887846</v>
      </c>
      <c r="B28">
        <f t="shared" ref="B28" si="4">B23</f>
        <v>6778758.5798564861</v>
      </c>
      <c r="C28">
        <f t="shared" ref="C28:C29" si="5">B28^-2</f>
        <v>2.1762043082509772E-14</v>
      </c>
      <c r="D28">
        <f t="shared" ref="D28:D29" si="6">C28*A28</f>
        <v>6.6525727964435027E-6</v>
      </c>
      <c r="H28">
        <f>D30/C30</f>
        <v>296540112.22143722</v>
      </c>
      <c r="I28">
        <f>C30^-0.5</f>
        <v>1852443.83316545</v>
      </c>
      <c r="J28">
        <f>I28/H28</f>
        <v>6.2468575306337086E-3</v>
      </c>
    </row>
    <row r="29" spans="1:10">
      <c r="A29">
        <f t="shared" si="3"/>
        <v>296014266.09248412</v>
      </c>
      <c r="B29">
        <f>B24</f>
        <v>2690947.2341200029</v>
      </c>
      <c r="C29">
        <f t="shared" si="5"/>
        <v>1.3809871457404664E-13</v>
      </c>
      <c r="D29">
        <f t="shared" si="6"/>
        <v>4.0879189642951854E-5</v>
      </c>
    </row>
    <row r="30" spans="1:10">
      <c r="C30">
        <f>SUM(C27:C29)</f>
        <v>2.9141365786559073E-13</v>
      </c>
      <c r="D30">
        <f>SUM(D27:D29)</f>
        <v>8.6415838806321783E-5</v>
      </c>
      <c r="H30" t="s">
        <v>36</v>
      </c>
    </row>
    <row r="31" spans="1:10">
      <c r="H31">
        <f>ABS(H28-B18)/I28</f>
        <v>1.7110510095345575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6"/>
  <sheetViews>
    <sheetView topLeftCell="A13" zoomScaleNormal="100" workbookViewId="0">
      <selection activeCell="AF13" sqref="AF13"/>
    </sheetView>
  </sheetViews>
  <sheetFormatPr defaultRowHeight="15"/>
  <cols>
    <col min="1" max="1" width="12" bestFit="1" customWidth="1"/>
    <col min="2" max="2" width="19" bestFit="1" customWidth="1"/>
    <col min="3" max="3" width="13.7109375" bestFit="1" customWidth="1"/>
    <col min="4" max="5" width="13.5703125" customWidth="1"/>
    <col min="6" max="6" width="12.7109375" bestFit="1" customWidth="1"/>
    <col min="7" max="8" width="9.28515625" bestFit="1" customWidth="1"/>
    <col min="9" max="9" width="11.42578125" bestFit="1" customWidth="1"/>
    <col min="11" max="13" width="12" bestFit="1" customWidth="1"/>
    <col min="14" max="14" width="14.42578125" bestFit="1" customWidth="1"/>
    <col min="15" max="15" width="12.42578125" bestFit="1" customWidth="1"/>
    <col min="16" max="16" width="12" bestFit="1" customWidth="1"/>
    <col min="17" max="17" width="12.28515625" customWidth="1"/>
    <col min="18" max="18" width="16" bestFit="1" customWidth="1"/>
    <col min="19" max="19" width="15.5703125" customWidth="1"/>
    <col min="21" max="21" width="9.42578125" bestFit="1" customWidth="1"/>
    <col min="22" max="22" width="11.140625" customWidth="1"/>
    <col min="23" max="23" width="10.28515625" bestFit="1" customWidth="1"/>
    <col min="24" max="42" width="12.28515625" bestFit="1" customWidth="1"/>
    <col min="43" max="43" width="12" bestFit="1" customWidth="1"/>
    <col min="44" max="46" width="9.140625" bestFit="1" customWidth="1"/>
    <col min="47" max="48" width="9.140625" customWidth="1"/>
    <col min="49" max="53" width="9.140625" bestFit="1" customWidth="1"/>
  </cols>
  <sheetData>
    <row r="1" spans="1:43">
      <c r="A1" t="s">
        <v>0</v>
      </c>
      <c r="C1" t="s">
        <v>17</v>
      </c>
      <c r="E1" t="s">
        <v>37</v>
      </c>
    </row>
    <row r="2" spans="1:43">
      <c r="A2" t="s">
        <v>1</v>
      </c>
      <c r="B2" s="1">
        <f>Sheet1!B8</f>
        <v>0.252</v>
      </c>
      <c r="C2" s="1">
        <f>Sheet1!C8</f>
        <v>2.52E-4</v>
      </c>
      <c r="E2" s="1"/>
    </row>
    <row r="3" spans="1:43">
      <c r="A3" t="s">
        <v>2</v>
      </c>
      <c r="B3" s="1">
        <f>Sheet1!B6</f>
        <v>13.43</v>
      </c>
      <c r="C3" s="1">
        <f>Sheet1!C6</f>
        <v>0.34641016151377546</v>
      </c>
      <c r="E3" s="1"/>
    </row>
    <row r="4" spans="1:43">
      <c r="A4" t="s">
        <v>3</v>
      </c>
      <c r="B4" s="1">
        <f>Sheet1!B7</f>
        <v>0.47799999999999998</v>
      </c>
      <c r="C4" s="1">
        <f>Sheet1!C7</f>
        <v>5.0990195135927853E-3</v>
      </c>
      <c r="E4" s="1"/>
    </row>
    <row r="5" spans="1:43">
      <c r="A5" t="s">
        <v>4</v>
      </c>
      <c r="B5" s="1">
        <f>B4+B3</f>
        <v>13.907999999999999</v>
      </c>
      <c r="C5">
        <f>SQRT(C4^2+C3^2)</f>
        <v>0.34644768724873887</v>
      </c>
    </row>
    <row r="6" spans="1:43">
      <c r="A6" t="s">
        <v>5</v>
      </c>
      <c r="B6" s="1">
        <f>B3^2</f>
        <v>180.36490000000001</v>
      </c>
      <c r="C6" s="1">
        <f>2*B3*C3</f>
        <v>9.3045769382600092</v>
      </c>
      <c r="V6" s="1"/>
      <c r="Z6" s="33"/>
    </row>
    <row r="7" spans="1:43">
      <c r="A7" t="s">
        <v>10</v>
      </c>
      <c r="B7">
        <v>0</v>
      </c>
    </row>
    <row r="8" spans="1:43">
      <c r="A8" t="s">
        <v>11</v>
      </c>
      <c r="B8">
        <v>0</v>
      </c>
      <c r="AA8" s="34"/>
      <c r="AE8" s="1"/>
    </row>
    <row r="9" spans="1:43">
      <c r="A9" t="s">
        <v>12</v>
      </c>
      <c r="B9" s="1">
        <f>0.00001*SQRT(2)</f>
        <v>1.4142135623730953E-5</v>
      </c>
      <c r="C9" s="1"/>
      <c r="E9" s="1"/>
    </row>
    <row r="10" spans="1:43" ht="15.75" thickBot="1">
      <c r="A10" t="s">
        <v>0</v>
      </c>
      <c r="B10" s="30">
        <f>299792458/1.00027</f>
        <v>299711535.88531095</v>
      </c>
      <c r="V10" s="21"/>
      <c r="W10" s="21" t="s">
        <v>20</v>
      </c>
      <c r="X10" s="21">
        <f t="array" ref="X10:AP12">TRANSPOSE(U13:W31)</f>
        <v>1</v>
      </c>
      <c r="Y10" s="21">
        <v>2</v>
      </c>
      <c r="Z10" s="21">
        <v>3</v>
      </c>
      <c r="AA10" s="21">
        <v>4</v>
      </c>
      <c r="AB10" s="21">
        <v>5</v>
      </c>
      <c r="AC10" s="21">
        <v>6</v>
      </c>
      <c r="AD10" s="21">
        <v>7</v>
      </c>
      <c r="AE10" s="21">
        <v>8</v>
      </c>
      <c r="AF10" s="21">
        <v>9</v>
      </c>
      <c r="AG10" s="21">
        <v>10</v>
      </c>
      <c r="AH10" s="21">
        <v>11</v>
      </c>
      <c r="AI10" s="21">
        <v>12</v>
      </c>
      <c r="AJ10" s="21">
        <v>13</v>
      </c>
      <c r="AK10" s="21">
        <v>14</v>
      </c>
      <c r="AL10" s="21">
        <v>15</v>
      </c>
      <c r="AM10" s="21">
        <v>16</v>
      </c>
      <c r="AN10" s="21">
        <v>17</v>
      </c>
      <c r="AO10" s="21">
        <v>18</v>
      </c>
      <c r="AP10" s="21">
        <v>19</v>
      </c>
    </row>
    <row r="11" spans="1:43">
      <c r="I11" t="s">
        <v>14</v>
      </c>
      <c r="U11" s="7"/>
      <c r="V11" s="22" t="s">
        <v>18</v>
      </c>
      <c r="W11" s="23"/>
      <c r="X11" s="35" t="str">
        <v>0.126E+08</v>
      </c>
      <c r="Y11" s="35" t="str">
        <v>0.124E+08</v>
      </c>
      <c r="Z11" s="35" t="str">
        <v>0.119E+08</v>
      </c>
      <c r="AA11" s="35" t="str">
        <v>0.124E+08</v>
      </c>
      <c r="AB11" s="35" t="str">
        <v>0.122E+08</v>
      </c>
      <c r="AC11" s="35" t="str">
        <v>0.120E+08</v>
      </c>
      <c r="AD11" s="35" t="str">
        <v>0.122E+08</v>
      </c>
      <c r="AE11" s="35" t="str">
        <v>0.119E+08</v>
      </c>
      <c r="AF11" s="35" t="str">
        <v>0.122E+08</v>
      </c>
      <c r="AG11" s="35" t="str">
        <v>0.119E+08</v>
      </c>
      <c r="AH11" s="35" t="str">
        <v>0.121E+08</v>
      </c>
      <c r="AI11" s="35" t="str">
        <v>0.120E+08</v>
      </c>
      <c r="AJ11" s="35" t="str">
        <v>0.123E+08</v>
      </c>
      <c r="AK11" s="35" t="str">
        <v>0.123E+08</v>
      </c>
      <c r="AL11" s="35" t="str">
        <v>0.122E+08</v>
      </c>
      <c r="AM11" s="35" t="str">
        <v>0.122E+08</v>
      </c>
      <c r="AN11" s="35" t="str">
        <v>0.121E+08</v>
      </c>
      <c r="AO11" s="35" t="str">
        <v>0.122E+08</v>
      </c>
      <c r="AP11" s="35" t="str">
        <v>0.120E+08</v>
      </c>
    </row>
    <row r="12" spans="1:43" ht="15.75" thickBot="1">
      <c r="B12" t="s">
        <v>73</v>
      </c>
      <c r="C12" t="s">
        <v>7</v>
      </c>
      <c r="D12" t="s">
        <v>31</v>
      </c>
      <c r="E12" t="s">
        <v>32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54</v>
      </c>
      <c r="Q12" t="s">
        <v>16</v>
      </c>
      <c r="R12" t="s">
        <v>35</v>
      </c>
      <c r="S12" t="s">
        <v>36</v>
      </c>
      <c r="U12" s="20" t="s">
        <v>20</v>
      </c>
      <c r="V12" s="37"/>
      <c r="W12" s="4" t="s">
        <v>19</v>
      </c>
      <c r="X12" s="31">
        <v>309870816.46394759</v>
      </c>
      <c r="Y12" s="31">
        <v>281275050.09719002</v>
      </c>
      <c r="Z12" s="31">
        <v>309507118.32256031</v>
      </c>
      <c r="AA12" s="31">
        <v>301505759.21198887</v>
      </c>
      <c r="AB12" s="31">
        <v>284411946.56667447</v>
      </c>
      <c r="AC12" s="31">
        <v>298429069.52942133</v>
      </c>
      <c r="AD12" s="31">
        <v>282159815.76806962</v>
      </c>
      <c r="AE12" s="31">
        <v>301522290.94568545</v>
      </c>
      <c r="AF12" s="31">
        <v>281400525.95596993</v>
      </c>
      <c r="AG12" s="31">
        <v>291236072.21959162</v>
      </c>
      <c r="AH12" s="31">
        <v>286801962.92437816</v>
      </c>
      <c r="AI12" s="31">
        <v>306254040.50235146</v>
      </c>
      <c r="AJ12" s="31">
        <v>303930413.48791933</v>
      </c>
      <c r="AK12" s="31">
        <v>298881234.78628403</v>
      </c>
      <c r="AL12" s="31">
        <v>297298656.3872658</v>
      </c>
      <c r="AM12" s="31">
        <v>293657536.16094887</v>
      </c>
      <c r="AN12" s="31">
        <v>296959532.4446184</v>
      </c>
      <c r="AO12" s="31">
        <v>287273676.67918909</v>
      </c>
      <c r="AP12" s="31">
        <v>290795806.04843587</v>
      </c>
      <c r="AQ12" t="s">
        <v>44</v>
      </c>
    </row>
    <row r="13" spans="1:43" ht="15.75" thickTop="1">
      <c r="A13">
        <v>1</v>
      </c>
      <c r="B13">
        <v>61</v>
      </c>
      <c r="C13">
        <v>913</v>
      </c>
      <c r="D13" s="1">
        <v>9.9500000000000005E-3</v>
      </c>
      <c r="E13" s="1">
        <v>1.017E-2</v>
      </c>
      <c r="F13">
        <f>ABS(E13-D13)</f>
        <v>2.1999999999999971E-4</v>
      </c>
      <c r="G13" s="30">
        <f>2*PI()*B13</f>
        <v>383.27430373795477</v>
      </c>
      <c r="H13" s="30">
        <f>2*PI()*C13</f>
        <v>5736.5481854549625</v>
      </c>
      <c r="K13">
        <f>((4*$B$3*(2*$B$4+$B$3-2*$B$2)*$B$2*(H13-G13))/(($B$5-$B$2)^2*F13)*$C$3)^2</f>
        <v>72153590604330.109</v>
      </c>
      <c r="L13">
        <f>((4*$B$6*$B$2*(G13-H13)/(($B$5-$B$2)^2*F13))*$C$4)^2</f>
        <v>14631808046.886253</v>
      </c>
      <c r="M13">
        <f>((4*$B$6*$B$5*(H13-G13)/(($B$5-$B$2)^2*F13))*$C$2)^2</f>
        <v>108856410895.54749</v>
      </c>
      <c r="O13" s="30">
        <f>4*$B$2*$B$6*ABS(H13-G13)/(($B$5-$B$2)*F13)</f>
        <v>323955853.57594711</v>
      </c>
      <c r="P13">
        <f>SQRT(K13+L13+M13)</f>
        <v>8501592.7227356955</v>
      </c>
      <c r="Q13" s="30">
        <f>SQRT(P13^2+$O$37^2)</f>
        <v>12628168.926708706</v>
      </c>
      <c r="R13" s="2">
        <f>Q13/O13</f>
        <v>3.898114137254878E-2</v>
      </c>
      <c r="S13" s="2">
        <f>(O13-$B$10)/P13</f>
        <v>2.851738313198644</v>
      </c>
      <c r="U13" s="20">
        <v>1</v>
      </c>
      <c r="V13" s="38" t="str">
        <f>TEXT(Q13/100000000, "0.000") &amp; "E+08"</f>
        <v>0.126E+08</v>
      </c>
      <c r="W13" s="32">
        <f t="shared" ref="W13:W31" si="0">O14</f>
        <v>309870816.46394759</v>
      </c>
      <c r="X13" s="24">
        <f t="shared" ref="X13:AG22" si="1">ABS(($W13-X$12)/SQRT($V13^2+X$11^2))</f>
        <v>0</v>
      </c>
      <c r="Y13" s="25">
        <f t="shared" si="1"/>
        <v>1.617569063510975</v>
      </c>
      <c r="Z13" s="25">
        <f t="shared" si="1"/>
        <v>2.0985185106863369E-2</v>
      </c>
      <c r="AA13" s="25">
        <f t="shared" si="1"/>
        <v>0.47318395498560067</v>
      </c>
      <c r="AB13" s="25">
        <f t="shared" si="1"/>
        <v>1.451596646213196</v>
      </c>
      <c r="AC13" s="25">
        <f t="shared" si="1"/>
        <v>0.65757166290380831</v>
      </c>
      <c r="AD13" s="25">
        <f t="shared" si="1"/>
        <v>1.58000711876282</v>
      </c>
      <c r="AE13" s="25">
        <f t="shared" si="1"/>
        <v>0.48170538541066371</v>
      </c>
      <c r="AF13" s="25">
        <f t="shared" si="1"/>
        <v>1.6232997923651868</v>
      </c>
      <c r="AG13" s="25">
        <f t="shared" si="1"/>
        <v>1.0752146158768892</v>
      </c>
      <c r="AH13" s="25">
        <f t="shared" ref="AH13:AP22" si="2">ABS(($W13-AH$12)/SQRT($V13^2+AH$11^2))</f>
        <v>1.3205507400589251</v>
      </c>
      <c r="AI13" s="25">
        <f t="shared" si="2"/>
        <v>0.20786068744805353</v>
      </c>
      <c r="AJ13" s="25">
        <f t="shared" si="2"/>
        <v>0.33736501128438695</v>
      </c>
      <c r="AK13" s="25">
        <f t="shared" si="2"/>
        <v>0.62411596682191495</v>
      </c>
      <c r="AL13" s="25">
        <f t="shared" si="2"/>
        <v>0.71683093069741621</v>
      </c>
      <c r="AM13" s="25">
        <f t="shared" si="2"/>
        <v>0.92443786416726381</v>
      </c>
      <c r="AN13" s="25">
        <f t="shared" si="2"/>
        <v>0.73909202455989764</v>
      </c>
      <c r="AO13" s="25">
        <f t="shared" si="2"/>
        <v>1.2884284517703442</v>
      </c>
      <c r="AP13" s="25">
        <f t="shared" si="2"/>
        <v>1.0962649664087201</v>
      </c>
      <c r="AQ13" s="3">
        <f>$B$10</f>
        <v>299711535.88531095</v>
      </c>
    </row>
    <row r="14" spans="1:43">
      <c r="A14">
        <v>2</v>
      </c>
      <c r="B14">
        <v>82</v>
      </c>
      <c r="C14">
        <v>934</v>
      </c>
      <c r="D14" s="1">
        <v>9.9399999999999992E-3</v>
      </c>
      <c r="E14" s="1">
        <v>1.017E-2</v>
      </c>
      <c r="F14">
        <f t="shared" ref="F14:F21" si="3">ABS(E14-D14)</f>
        <v>2.3000000000000104E-4</v>
      </c>
      <c r="G14" s="30">
        <f t="shared" ref="G14:G21" si="4">2*PI()*B14</f>
        <v>515.22119518872603</v>
      </c>
      <c r="H14" s="30">
        <f t="shared" ref="H14:H21" si="5">2*PI()*C14</f>
        <v>5868.4950769057332</v>
      </c>
      <c r="K14">
        <f t="shared" ref="K14:K21" si="6">((4*$B$3*(2*$B$4+$B$3-2*$B$2)*$B$2*(H14-G14))/(($B$5-$B$2)^2*F14)*$C$3)^2</f>
        <v>66015761535908.047</v>
      </c>
      <c r="L14">
        <f t="shared" ref="L14:L21" si="7">((4*$B$6*$B$2*(G14-H14)/(($B$5-$B$2)^2*F14))*$C$4)^2</f>
        <v>13387136284.86363</v>
      </c>
      <c r="M14">
        <f t="shared" ref="M14:M21" si="8">((4*$B$6*$B$5*(H14-G14)/(($B$5-$B$2)^2*F14))*$C$2)^2</f>
        <v>99596413749.422226</v>
      </c>
      <c r="O14" s="30">
        <f t="shared" ref="O14:O21" si="9">4*$B$2*$B$6*ABS(H14-G14)/(($B$5-$B$2)*F14)</f>
        <v>309870816.46394759</v>
      </c>
      <c r="P14">
        <f t="shared" ref="P14:P21" si="10">SQRT(K14+L14+M14)</f>
        <v>8131958.2565297475</v>
      </c>
      <c r="Q14" s="30">
        <f t="shared" ref="Q14:Q32" si="11">SQRT(P14^2+$O$37^2)</f>
        <v>12382338.902814811</v>
      </c>
      <c r="R14" s="2">
        <f t="shared" ref="R14:R32" si="12">Q14/O14</f>
        <v>3.9959680760241756E-2</v>
      </c>
      <c r="S14" s="2">
        <f>(O14-$B$10)/P14</f>
        <v>1.2493030901233431</v>
      </c>
      <c r="U14" s="20">
        <v>2</v>
      </c>
      <c r="V14" s="38" t="str">
        <f t="shared" ref="V14:V31" si="13">TEXT(Q14/100000000, "0.000") &amp; "E+08"</f>
        <v>0.124E+08</v>
      </c>
      <c r="W14" s="32">
        <f t="shared" si="0"/>
        <v>281275050.09719002</v>
      </c>
      <c r="X14" s="26">
        <f t="shared" si="1"/>
        <v>1.617569063510975</v>
      </c>
      <c r="Y14" s="27">
        <f t="shared" si="1"/>
        <v>0</v>
      </c>
      <c r="Z14" s="27">
        <f t="shared" si="1"/>
        <v>1.6427047137959299</v>
      </c>
      <c r="AA14" s="27">
        <f t="shared" si="1"/>
        <v>1.1536509357489322</v>
      </c>
      <c r="AB14" s="27">
        <f t="shared" si="1"/>
        <v>0.18032906196480844</v>
      </c>
      <c r="AC14" s="27">
        <f t="shared" si="1"/>
        <v>0.99410605676670438</v>
      </c>
      <c r="AD14" s="27">
        <f t="shared" si="1"/>
        <v>5.0862043118243286E-2</v>
      </c>
      <c r="AE14" s="27">
        <f t="shared" si="1"/>
        <v>1.1781013603989581</v>
      </c>
      <c r="AF14" s="27">
        <f t="shared" si="1"/>
        <v>7.2131624786227651E-3</v>
      </c>
      <c r="AG14" s="27">
        <f t="shared" si="1"/>
        <v>0.57958977231396314</v>
      </c>
      <c r="AH14" s="27">
        <f t="shared" si="2"/>
        <v>0.31900608859895341</v>
      </c>
      <c r="AI14" s="27">
        <f t="shared" si="2"/>
        <v>1.4475770971222688</v>
      </c>
      <c r="AJ14" s="27">
        <f t="shared" si="2"/>
        <v>1.2971360158135796</v>
      </c>
      <c r="AK14" s="27">
        <f t="shared" si="2"/>
        <v>1.0080445794409423</v>
      </c>
      <c r="AL14" s="27">
        <f t="shared" si="2"/>
        <v>0.92114034355034513</v>
      </c>
      <c r="AM14" s="27">
        <f t="shared" si="2"/>
        <v>0.71182524459818375</v>
      </c>
      <c r="AN14" s="27">
        <f t="shared" si="2"/>
        <v>0.90528754872690953</v>
      </c>
      <c r="AO14" s="27">
        <f t="shared" si="2"/>
        <v>0.34483978516091701</v>
      </c>
      <c r="AP14" s="27">
        <f t="shared" si="2"/>
        <v>0.55174480788728053</v>
      </c>
      <c r="AQ14" s="3">
        <f t="shared" ref="AQ14:AQ31" si="14">$B$10</f>
        <v>299711535.88531095</v>
      </c>
    </row>
    <row r="15" spans="1:43">
      <c r="A15">
        <v>3</v>
      </c>
      <c r="B15">
        <v>110</v>
      </c>
      <c r="C15">
        <v>917</v>
      </c>
      <c r="D15" s="1">
        <v>9.9399999999999992E-3</v>
      </c>
      <c r="E15" s="1">
        <v>1.018E-2</v>
      </c>
      <c r="F15">
        <f t="shared" si="3"/>
        <v>2.4000000000000063E-4</v>
      </c>
      <c r="G15" s="30">
        <f t="shared" si="4"/>
        <v>691.15038378975453</v>
      </c>
      <c r="H15" s="30">
        <f t="shared" si="5"/>
        <v>5761.6809266836808</v>
      </c>
      <c r="K15">
        <f t="shared" si="6"/>
        <v>54393713075016.367</v>
      </c>
      <c r="L15">
        <f t="shared" si="7"/>
        <v>11030336286.871956</v>
      </c>
      <c r="M15">
        <f t="shared" si="8"/>
        <v>82062504873.778992</v>
      </c>
      <c r="O15" s="30">
        <f t="shared" si="9"/>
        <v>281275050.09719002</v>
      </c>
      <c r="P15">
        <f t="shared" si="10"/>
        <v>7381517.8599104546</v>
      </c>
      <c r="Q15" s="30">
        <f t="shared" si="11"/>
        <v>11902956.671953224</v>
      </c>
      <c r="R15" s="2">
        <f t="shared" si="12"/>
        <v>4.2317854597627304E-2</v>
      </c>
      <c r="S15" s="2">
        <f>(O15-$B$10)/P15</f>
        <v>-2.4976551080707647</v>
      </c>
      <c r="U15" s="20">
        <v>3</v>
      </c>
      <c r="V15" s="38" t="str">
        <f t="shared" si="13"/>
        <v>0.119E+08</v>
      </c>
      <c r="W15" s="32">
        <f t="shared" si="0"/>
        <v>309507118.32256031</v>
      </c>
      <c r="X15" s="28">
        <f t="shared" si="1"/>
        <v>2.0985185106863369E-2</v>
      </c>
      <c r="Y15" s="29">
        <f t="shared" si="1"/>
        <v>1.6427047137959299</v>
      </c>
      <c r="Z15" s="29">
        <f t="shared" si="1"/>
        <v>0</v>
      </c>
      <c r="AA15" s="29">
        <f t="shared" si="1"/>
        <v>0.46556526510155549</v>
      </c>
      <c r="AB15" s="29">
        <f t="shared" si="1"/>
        <v>1.472497214839519</v>
      </c>
      <c r="AC15" s="29">
        <f t="shared" si="1"/>
        <v>0.65550584574786874</v>
      </c>
      <c r="AD15" s="29">
        <f t="shared" si="1"/>
        <v>1.6046444007866381</v>
      </c>
      <c r="AE15" s="29">
        <f t="shared" si="1"/>
        <v>0.47446433485648815</v>
      </c>
      <c r="AF15" s="29">
        <f t="shared" si="1"/>
        <v>1.649196880620158</v>
      </c>
      <c r="AG15" s="29">
        <f t="shared" si="1"/>
        <v>1.0856790419143869</v>
      </c>
      <c r="AH15" s="29">
        <f t="shared" si="2"/>
        <v>1.3378676595640269</v>
      </c>
      <c r="AI15" s="29">
        <f t="shared" si="2"/>
        <v>0.19248981184667738</v>
      </c>
      <c r="AJ15" s="29">
        <f t="shared" si="2"/>
        <v>0.32585018567636187</v>
      </c>
      <c r="AK15" s="29">
        <f t="shared" si="2"/>
        <v>0.62087670514014748</v>
      </c>
      <c r="AL15" s="29">
        <f t="shared" si="2"/>
        <v>0.71634999640833807</v>
      </c>
      <c r="AM15" s="29">
        <f t="shared" si="2"/>
        <v>0.92999824095123573</v>
      </c>
      <c r="AN15" s="29">
        <f t="shared" si="2"/>
        <v>0.73934791712743764</v>
      </c>
      <c r="AO15" s="29">
        <f t="shared" si="2"/>
        <v>1.3045808657787947</v>
      </c>
      <c r="AP15" s="29">
        <f t="shared" si="2"/>
        <v>1.1071782410724522</v>
      </c>
      <c r="AQ15" s="3">
        <f t="shared" si="14"/>
        <v>299711535.88531095</v>
      </c>
    </row>
    <row r="16" spans="1:43">
      <c r="A16">
        <v>4</v>
      </c>
      <c r="B16">
        <v>108</v>
      </c>
      <c r="C16">
        <v>959</v>
      </c>
      <c r="D16" s="1">
        <v>9.9500000000000005E-3</v>
      </c>
      <c r="E16" s="1">
        <v>1.018E-2</v>
      </c>
      <c r="F16">
        <f t="shared" si="3"/>
        <v>2.299999999999993E-4</v>
      </c>
      <c r="G16" s="30">
        <f t="shared" si="4"/>
        <v>678.58401317539528</v>
      </c>
      <c r="H16" s="30">
        <f t="shared" si="5"/>
        <v>6025.574709585223</v>
      </c>
      <c r="K16">
        <f t="shared" si="6"/>
        <v>65860885902360.188</v>
      </c>
      <c r="L16">
        <f t="shared" si="7"/>
        <v>13355729524.337482</v>
      </c>
      <c r="M16">
        <f t="shared" si="8"/>
        <v>99362756554.236374</v>
      </c>
      <c r="O16" s="30">
        <f t="shared" si="9"/>
        <v>309507118.32256031</v>
      </c>
      <c r="P16">
        <f t="shared" si="10"/>
        <v>8122413.7045855252</v>
      </c>
      <c r="Q16" s="30">
        <f t="shared" si="11"/>
        <v>12376072.721451564</v>
      </c>
      <c r="R16" s="2">
        <f>Q16/O16</f>
        <v>3.9986391229146274E-2</v>
      </c>
      <c r="S16" s="2">
        <f t="shared" ref="S16:S23" si="15">(O16-$B$10)/P16</f>
        <v>1.2059940300405096</v>
      </c>
      <c r="U16" s="20">
        <v>4</v>
      </c>
      <c r="V16" s="38" t="str">
        <f t="shared" si="13"/>
        <v>0.124E+08</v>
      </c>
      <c r="W16" s="32">
        <f t="shared" si="0"/>
        <v>301505759.21198887</v>
      </c>
      <c r="X16" s="26">
        <f t="shared" si="1"/>
        <v>0.47318395498560067</v>
      </c>
      <c r="Y16" s="27">
        <f t="shared" si="1"/>
        <v>1.1536509357489322</v>
      </c>
      <c r="Z16" s="27">
        <f t="shared" si="1"/>
        <v>0.46556526510155549</v>
      </c>
      <c r="AA16" s="27">
        <f t="shared" si="1"/>
        <v>0</v>
      </c>
      <c r="AB16" s="27">
        <f t="shared" si="1"/>
        <v>0.98266271447534859</v>
      </c>
      <c r="AC16" s="27">
        <f t="shared" si="1"/>
        <v>0.17829966092291968</v>
      </c>
      <c r="AD16" s="27">
        <f t="shared" si="1"/>
        <v>1.1121297333219138</v>
      </c>
      <c r="AE16" s="27">
        <f t="shared" si="1"/>
        <v>9.6191170458375741E-4</v>
      </c>
      <c r="AF16" s="27">
        <f t="shared" si="1"/>
        <v>1.1557786139615343</v>
      </c>
      <c r="AG16" s="27">
        <f t="shared" si="1"/>
        <v>0.59754967638041123</v>
      </c>
      <c r="AH16" s="27">
        <f t="shared" si="2"/>
        <v>0.84868364816473663</v>
      </c>
      <c r="AI16" s="27">
        <f t="shared" si="2"/>
        <v>0.27517137943264458</v>
      </c>
      <c r="AJ16" s="27">
        <f t="shared" si="2"/>
        <v>0.13882392142483999</v>
      </c>
      <c r="AK16" s="27">
        <f t="shared" si="2"/>
        <v>0.15026751494779728</v>
      </c>
      <c r="AL16" s="27">
        <f t="shared" si="2"/>
        <v>0.24185143288981198</v>
      </c>
      <c r="AM16" s="27">
        <f t="shared" si="2"/>
        <v>0.45116653184197331</v>
      </c>
      <c r="AN16" s="27">
        <f t="shared" si="2"/>
        <v>0.26240218803678056</v>
      </c>
      <c r="AO16" s="27">
        <f t="shared" si="2"/>
        <v>0.8181519912792401</v>
      </c>
      <c r="AP16" s="27">
        <f t="shared" si="2"/>
        <v>0.62066090980234356</v>
      </c>
      <c r="AQ16" s="3">
        <f t="shared" si="14"/>
        <v>299711535.88531095</v>
      </c>
    </row>
    <row r="17" spans="1:43">
      <c r="A17">
        <v>5</v>
      </c>
      <c r="B17">
        <v>100</v>
      </c>
      <c r="C17">
        <v>929</v>
      </c>
      <c r="D17" s="1">
        <v>9.9500000000000005E-3</v>
      </c>
      <c r="E17" s="1">
        <v>1.018E-2</v>
      </c>
      <c r="F17">
        <f t="shared" si="3"/>
        <v>2.299999999999993E-4</v>
      </c>
      <c r="G17" s="30">
        <f t="shared" si="4"/>
        <v>628.31853071795865</v>
      </c>
      <c r="H17" s="30">
        <f t="shared" si="5"/>
        <v>5837.0791503698356</v>
      </c>
      <c r="K17">
        <f t="shared" si="6"/>
        <v>62499639034500</v>
      </c>
      <c r="L17">
        <f t="shared" si="7"/>
        <v>12674112455.016235</v>
      </c>
      <c r="M17">
        <f t="shared" si="8"/>
        <v>94291723122.572266</v>
      </c>
      <c r="O17" s="30">
        <f t="shared" si="9"/>
        <v>301505759.21198887</v>
      </c>
      <c r="P17">
        <f t="shared" si="10"/>
        <v>7912433.5618112832</v>
      </c>
      <c r="Q17" s="30">
        <f t="shared" si="11"/>
        <v>12239288.234546009</v>
      </c>
      <c r="R17" s="2">
        <f t="shared" si="12"/>
        <v>4.059387875884838E-2</v>
      </c>
      <c r="S17" s="2">
        <f t="shared" si="15"/>
        <v>0.22675998637607414</v>
      </c>
      <c r="U17" s="20">
        <v>5</v>
      </c>
      <c r="V17" s="38" t="str">
        <f t="shared" si="13"/>
        <v>0.122E+08</v>
      </c>
      <c r="W17" s="32">
        <f t="shared" si="0"/>
        <v>284411946.56667447</v>
      </c>
      <c r="X17" s="28">
        <f t="shared" si="1"/>
        <v>1.451596646213196</v>
      </c>
      <c r="Y17" s="29">
        <f t="shared" si="1"/>
        <v>0.18032906196480844</v>
      </c>
      <c r="Z17" s="29">
        <f t="shared" si="1"/>
        <v>1.472497214839519</v>
      </c>
      <c r="AA17" s="29">
        <f t="shared" si="1"/>
        <v>0.98266271447534859</v>
      </c>
      <c r="AB17" s="29">
        <f t="shared" si="1"/>
        <v>0</v>
      </c>
      <c r="AC17" s="29">
        <f t="shared" si="1"/>
        <v>0.81911274620842689</v>
      </c>
      <c r="AD17" s="29">
        <f t="shared" si="1"/>
        <v>0.1305325376895542</v>
      </c>
      <c r="AE17" s="29">
        <f t="shared" si="1"/>
        <v>1.0039753737540944</v>
      </c>
      <c r="AF17" s="29">
        <f t="shared" si="1"/>
        <v>0.17454065039623895</v>
      </c>
      <c r="AG17" s="29">
        <f t="shared" si="1"/>
        <v>0.40041590929851389</v>
      </c>
      <c r="AH17" s="29">
        <f t="shared" si="2"/>
        <v>0.13909320689209259</v>
      </c>
      <c r="AI17" s="29">
        <f t="shared" si="2"/>
        <v>1.2763772989752513</v>
      </c>
      <c r="AJ17" s="29">
        <f t="shared" si="2"/>
        <v>1.1266551309426196</v>
      </c>
      <c r="AK17" s="29">
        <f t="shared" si="2"/>
        <v>0.83520380363310831</v>
      </c>
      <c r="AL17" s="29">
        <f t="shared" si="2"/>
        <v>0.74690818863306607</v>
      </c>
      <c r="AM17" s="29">
        <f t="shared" si="2"/>
        <v>0.53587041788354173</v>
      </c>
      <c r="AN17" s="29">
        <f t="shared" si="2"/>
        <v>0.73023933618346193</v>
      </c>
      <c r="AO17" s="29">
        <f t="shared" si="2"/>
        <v>0.16586465315449392</v>
      </c>
      <c r="AP17" s="29">
        <f t="shared" si="2"/>
        <v>0.37305092388870387</v>
      </c>
      <c r="AQ17" s="3">
        <f t="shared" si="14"/>
        <v>299711535.88531095</v>
      </c>
    </row>
    <row r="18" spans="1:43">
      <c r="A18">
        <v>6</v>
      </c>
      <c r="B18">
        <v>118</v>
      </c>
      <c r="C18">
        <v>1002</v>
      </c>
      <c r="D18" s="1">
        <v>9.9399999999999992E-3</v>
      </c>
      <c r="E18" s="1">
        <v>1.0200000000000001E-2</v>
      </c>
      <c r="F18">
        <f t="shared" si="3"/>
        <v>2.6000000000000155E-4</v>
      </c>
      <c r="G18" s="30">
        <f t="shared" si="4"/>
        <v>741.41586624719116</v>
      </c>
      <c r="H18" s="30">
        <f t="shared" si="5"/>
        <v>6295.7516777939454</v>
      </c>
      <c r="K18">
        <f t="shared" si="6"/>
        <v>55613721039537.625</v>
      </c>
      <c r="L18">
        <f t="shared" si="7"/>
        <v>11277738005.941454</v>
      </c>
      <c r="M18">
        <f t="shared" si="8"/>
        <v>83903101955.219284</v>
      </c>
      <c r="O18" s="30">
        <f t="shared" si="9"/>
        <v>284411946.56667447</v>
      </c>
      <c r="P18">
        <f t="shared" si="10"/>
        <v>7463839.6204298753</v>
      </c>
      <c r="Q18" s="30">
        <f t="shared" si="11"/>
        <v>11954182.259682909</v>
      </c>
      <c r="R18" s="2">
        <f t="shared" si="12"/>
        <v>4.2031224088825321E-2</v>
      </c>
      <c r="S18" s="2">
        <f t="shared" si="15"/>
        <v>-2.0498282515019133</v>
      </c>
      <c r="U18" s="20">
        <v>6</v>
      </c>
      <c r="V18" s="38" t="str">
        <f t="shared" si="13"/>
        <v>0.120E+08</v>
      </c>
      <c r="W18" s="32">
        <f t="shared" si="0"/>
        <v>298429069.52942133</v>
      </c>
      <c r="X18" s="26">
        <f t="shared" si="1"/>
        <v>0.65757166290380831</v>
      </c>
      <c r="Y18" s="27">
        <f t="shared" si="1"/>
        <v>0.99410605676670438</v>
      </c>
      <c r="Z18" s="27">
        <f t="shared" si="1"/>
        <v>0.65550584574786874</v>
      </c>
      <c r="AA18" s="27">
        <f t="shared" si="1"/>
        <v>0.17829966092291968</v>
      </c>
      <c r="AB18" s="27">
        <f t="shared" si="1"/>
        <v>0.81911274620842689</v>
      </c>
      <c r="AC18" s="27">
        <f t="shared" si="1"/>
        <v>0</v>
      </c>
      <c r="AD18" s="27">
        <f t="shared" si="1"/>
        <v>0.95071957081634106</v>
      </c>
      <c r="AE18" s="27">
        <f t="shared" si="1"/>
        <v>0.18303085303337968</v>
      </c>
      <c r="AF18" s="27">
        <f t="shared" si="1"/>
        <v>0.99508987168407226</v>
      </c>
      <c r="AG18" s="27">
        <f t="shared" si="1"/>
        <v>0.42562114259347406</v>
      </c>
      <c r="AH18" s="27">
        <f t="shared" si="2"/>
        <v>0.68228507467631028</v>
      </c>
      <c r="AI18" s="27">
        <f t="shared" si="2"/>
        <v>0.46109083646223276</v>
      </c>
      <c r="AJ18" s="27">
        <f t="shared" si="2"/>
        <v>0.32014330872413793</v>
      </c>
      <c r="AK18" s="27">
        <f t="shared" si="2"/>
        <v>2.6313148662249219E-2</v>
      </c>
      <c r="AL18" s="27">
        <f t="shared" si="2"/>
        <v>6.6057479532851363E-2</v>
      </c>
      <c r="AM18" s="27">
        <f t="shared" si="2"/>
        <v>0.2788320978179325</v>
      </c>
      <c r="AN18" s="27">
        <f t="shared" si="2"/>
        <v>8.6233252493744417E-2</v>
      </c>
      <c r="AO18" s="27">
        <f t="shared" si="2"/>
        <v>0.65188302170654233</v>
      </c>
      <c r="AP18" s="27">
        <f t="shared" si="2"/>
        <v>0.44979436416570423</v>
      </c>
      <c r="AQ18" s="3">
        <f t="shared" si="14"/>
        <v>299711535.88531095</v>
      </c>
    </row>
    <row r="19" spans="1:43">
      <c r="A19">
        <v>7</v>
      </c>
      <c r="B19">
        <v>115</v>
      </c>
      <c r="C19">
        <v>1435</v>
      </c>
      <c r="D19" s="1">
        <v>9.9399999999999992E-3</v>
      </c>
      <c r="E19" s="1">
        <v>1.031E-2</v>
      </c>
      <c r="F19">
        <f t="shared" si="3"/>
        <v>3.7000000000000054E-4</v>
      </c>
      <c r="G19" s="30">
        <f t="shared" si="4"/>
        <v>722.56631032565247</v>
      </c>
      <c r="H19" s="30">
        <f t="shared" si="5"/>
        <v>9016.3709158027068</v>
      </c>
      <c r="K19">
        <f t="shared" si="6"/>
        <v>61230602705035.164</v>
      </c>
      <c r="L19">
        <f t="shared" si="7"/>
        <v>12416768422.352947</v>
      </c>
      <c r="M19">
        <f t="shared" si="8"/>
        <v>92377158109.735458</v>
      </c>
      <c r="O19" s="30">
        <f t="shared" si="9"/>
        <v>298429069.52942133</v>
      </c>
      <c r="P19">
        <f t="shared" si="10"/>
        <v>7831691.8115798738</v>
      </c>
      <c r="Q19" s="30">
        <f t="shared" si="11"/>
        <v>12187246.130680466</v>
      </c>
      <c r="R19" s="2">
        <f t="shared" si="12"/>
        <v>4.0837999293761688E-2</v>
      </c>
      <c r="S19" s="2">
        <f t="shared" si="15"/>
        <v>-0.16375342477003174</v>
      </c>
      <c r="U19" s="20">
        <v>7</v>
      </c>
      <c r="V19" s="38" t="str">
        <f t="shared" si="13"/>
        <v>0.122E+08</v>
      </c>
      <c r="W19" s="32">
        <f t="shared" si="0"/>
        <v>282159815.76806962</v>
      </c>
      <c r="X19" s="28">
        <f t="shared" si="1"/>
        <v>1.58000711876282</v>
      </c>
      <c r="Y19" s="29">
        <f t="shared" si="1"/>
        <v>5.0862043118243286E-2</v>
      </c>
      <c r="Z19" s="29">
        <f t="shared" si="1"/>
        <v>1.6046444007866381</v>
      </c>
      <c r="AA19" s="29">
        <f t="shared" si="1"/>
        <v>1.1121297333219138</v>
      </c>
      <c r="AB19" s="29">
        <f t="shared" si="1"/>
        <v>0.1305325376895542</v>
      </c>
      <c r="AC19" s="29">
        <f t="shared" si="1"/>
        <v>0.95071957081634106</v>
      </c>
      <c r="AD19" s="29">
        <f t="shared" si="1"/>
        <v>0</v>
      </c>
      <c r="AE19" s="29">
        <f t="shared" si="1"/>
        <v>1.1361225597012135</v>
      </c>
      <c r="AF19" s="29">
        <f t="shared" si="1"/>
        <v>4.4008112706684747E-2</v>
      </c>
      <c r="AG19" s="29">
        <f t="shared" si="1"/>
        <v>0.53256309524563294</v>
      </c>
      <c r="AH19" s="29">
        <f t="shared" si="2"/>
        <v>0.27016180569422477</v>
      </c>
      <c r="AI19" s="29">
        <f t="shared" si="2"/>
        <v>1.4079841235831656</v>
      </c>
      <c r="AJ19" s="29">
        <f t="shared" si="2"/>
        <v>1.2566537998975182</v>
      </c>
      <c r="AK19" s="29">
        <f t="shared" si="2"/>
        <v>0.96520247258800684</v>
      </c>
      <c r="AL19" s="29">
        <f t="shared" si="2"/>
        <v>0.87744072632262027</v>
      </c>
      <c r="AM19" s="29">
        <f t="shared" si="2"/>
        <v>0.66640295557309603</v>
      </c>
      <c r="AN19" s="29">
        <f t="shared" si="2"/>
        <v>0.86130793498559399</v>
      </c>
      <c r="AO19" s="29">
        <f t="shared" si="2"/>
        <v>0.29639719084404814</v>
      </c>
      <c r="AP19" s="29">
        <f t="shared" si="2"/>
        <v>0.50465774849661815</v>
      </c>
      <c r="AQ19" s="3">
        <f t="shared" si="14"/>
        <v>299711535.88531095</v>
      </c>
    </row>
    <row r="20" spans="1:43">
      <c r="A20">
        <v>8</v>
      </c>
      <c r="B20">
        <v>100</v>
      </c>
      <c r="C20">
        <v>977</v>
      </c>
      <c r="D20" s="1">
        <v>9.9399999999999992E-3</v>
      </c>
      <c r="E20" s="1">
        <v>1.0200000000000001E-2</v>
      </c>
      <c r="F20">
        <f t="shared" si="3"/>
        <v>2.6000000000000155E-4</v>
      </c>
      <c r="G20" s="30">
        <f t="shared" si="4"/>
        <v>628.31853071795865</v>
      </c>
      <c r="H20" s="30">
        <f t="shared" si="5"/>
        <v>6138.6720451144556</v>
      </c>
      <c r="K20">
        <f t="shared" si="6"/>
        <v>54736447924666.945</v>
      </c>
      <c r="L20">
        <f t="shared" si="7"/>
        <v>11099838448.705681</v>
      </c>
      <c r="M20">
        <f t="shared" si="8"/>
        <v>82579580812.887543</v>
      </c>
      <c r="O20" s="30">
        <f t="shared" si="9"/>
        <v>282159815.76806962</v>
      </c>
      <c r="P20">
        <f t="shared" si="10"/>
        <v>7404736.8180056568</v>
      </c>
      <c r="Q20" s="30">
        <f t="shared" si="11"/>
        <v>11917369.632689392</v>
      </c>
      <c r="R20" s="2">
        <f t="shared" si="12"/>
        <v>4.223623977159547E-2</v>
      </c>
      <c r="S20" s="2">
        <f t="shared" si="15"/>
        <v>-2.3703367923302623</v>
      </c>
      <c r="U20" s="20">
        <v>8</v>
      </c>
      <c r="V20" s="38" t="str">
        <f t="shared" si="13"/>
        <v>0.119E+08</v>
      </c>
      <c r="W20" s="32">
        <f t="shared" si="0"/>
        <v>301522290.94568545</v>
      </c>
      <c r="X20" s="26">
        <f t="shared" si="1"/>
        <v>0.48170538541066371</v>
      </c>
      <c r="Y20" s="27">
        <f t="shared" si="1"/>
        <v>1.1781013603989581</v>
      </c>
      <c r="Z20" s="27">
        <f t="shared" si="1"/>
        <v>0.47446433485648815</v>
      </c>
      <c r="AA20" s="27">
        <f t="shared" si="1"/>
        <v>9.6191170458375741E-4</v>
      </c>
      <c r="AB20" s="27">
        <f t="shared" si="1"/>
        <v>1.0039753737540944</v>
      </c>
      <c r="AC20" s="27">
        <f t="shared" si="1"/>
        <v>0.18303085303337968</v>
      </c>
      <c r="AD20" s="27">
        <f t="shared" si="1"/>
        <v>1.1361225597012135</v>
      </c>
      <c r="AE20" s="27">
        <f t="shared" si="1"/>
        <v>0</v>
      </c>
      <c r="AF20" s="27">
        <f t="shared" si="1"/>
        <v>1.1806750395347334</v>
      </c>
      <c r="AG20" s="27">
        <f t="shared" si="1"/>
        <v>0.61121470705789882</v>
      </c>
      <c r="AH20" s="27">
        <f t="shared" si="2"/>
        <v>0.86737353048276855</v>
      </c>
      <c r="AI20" s="27">
        <f t="shared" si="2"/>
        <v>0.27998518086781166</v>
      </c>
      <c r="AJ20" s="27">
        <f t="shared" si="2"/>
        <v>0.14070803472403265</v>
      </c>
      <c r="AK20" s="27">
        <f t="shared" si="2"/>
        <v>0.15431848473975299</v>
      </c>
      <c r="AL20" s="27">
        <f t="shared" si="2"/>
        <v>0.24782815532291352</v>
      </c>
      <c r="AM20" s="27">
        <f t="shared" si="2"/>
        <v>0.46147639986581118</v>
      </c>
      <c r="AN20" s="27">
        <f t="shared" si="2"/>
        <v>0.26885378804617943</v>
      </c>
      <c r="AO20" s="27">
        <f t="shared" si="2"/>
        <v>0.83605902469337023</v>
      </c>
      <c r="AP20" s="27">
        <f t="shared" si="2"/>
        <v>0.63470324835796332</v>
      </c>
      <c r="AQ20" s="3">
        <f t="shared" si="14"/>
        <v>299711535.88531095</v>
      </c>
    </row>
    <row r="21" spans="1:43">
      <c r="A21">
        <v>9</v>
      </c>
      <c r="B21">
        <v>107</v>
      </c>
      <c r="C21">
        <v>900</v>
      </c>
      <c r="D21" s="1">
        <v>9.9399999999999992E-3</v>
      </c>
      <c r="E21" s="1">
        <v>1.0160000000000001E-2</v>
      </c>
      <c r="F21">
        <f t="shared" si="3"/>
        <v>2.2000000000000144E-4</v>
      </c>
      <c r="G21" s="30">
        <f t="shared" si="4"/>
        <v>672.30082786821572</v>
      </c>
      <c r="H21" s="30">
        <f t="shared" si="5"/>
        <v>5654.8667764616275</v>
      </c>
      <c r="K21">
        <f t="shared" si="6"/>
        <v>62506493004504.273</v>
      </c>
      <c r="L21">
        <f t="shared" si="7"/>
        <v>12675502350.829069</v>
      </c>
      <c r="M21">
        <f t="shared" si="8"/>
        <v>94302063544.563828</v>
      </c>
      <c r="O21" s="30">
        <f t="shared" si="9"/>
        <v>301522290.94568545</v>
      </c>
      <c r="P21">
        <f t="shared" si="10"/>
        <v>7912867.4050814006</v>
      </c>
      <c r="Q21" s="30">
        <f t="shared" si="11"/>
        <v>12239568.709256811</v>
      </c>
      <c r="R21" s="2">
        <f t="shared" si="12"/>
        <v>4.0592583290837293E-2</v>
      </c>
      <c r="S21" s="2">
        <f t="shared" si="15"/>
        <v>0.22883677530242538</v>
      </c>
      <c r="U21" s="20">
        <v>9</v>
      </c>
      <c r="V21" s="38" t="str">
        <f t="shared" si="13"/>
        <v>0.122E+08</v>
      </c>
      <c r="W21" s="32">
        <f t="shared" si="0"/>
        <v>281400525.95596993</v>
      </c>
      <c r="X21" s="28">
        <f t="shared" si="1"/>
        <v>1.6232997923651868</v>
      </c>
      <c r="Y21" s="29">
        <f t="shared" si="1"/>
        <v>7.2131624786227651E-3</v>
      </c>
      <c r="Z21" s="29">
        <f t="shared" si="1"/>
        <v>1.649196880620158</v>
      </c>
      <c r="AA21" s="29">
        <f t="shared" si="1"/>
        <v>1.1557786139615343</v>
      </c>
      <c r="AB21" s="29">
        <f t="shared" si="1"/>
        <v>0.17454065039623895</v>
      </c>
      <c r="AC21" s="29">
        <f t="shared" si="1"/>
        <v>0.99508987168407226</v>
      </c>
      <c r="AD21" s="29">
        <f t="shared" si="1"/>
        <v>4.4008112706684747E-2</v>
      </c>
      <c r="AE21" s="29">
        <f t="shared" si="1"/>
        <v>1.1806750395347334</v>
      </c>
      <c r="AF21" s="29">
        <f t="shared" si="1"/>
        <v>0</v>
      </c>
      <c r="AG21" s="29">
        <f t="shared" si="1"/>
        <v>0.5771155750791529</v>
      </c>
      <c r="AH21" s="29">
        <f t="shared" si="2"/>
        <v>0.31435064757600689</v>
      </c>
      <c r="AI21" s="29">
        <f t="shared" si="2"/>
        <v>1.4523544244508968</v>
      </c>
      <c r="AJ21" s="29">
        <f t="shared" si="2"/>
        <v>1.3004819225736624</v>
      </c>
      <c r="AK21" s="29">
        <f t="shared" si="2"/>
        <v>1.009030595264151</v>
      </c>
      <c r="AL21" s="29">
        <f t="shared" si="2"/>
        <v>0.92144883902930508</v>
      </c>
      <c r="AM21" s="29">
        <f t="shared" si="2"/>
        <v>0.71041106827978073</v>
      </c>
      <c r="AN21" s="29">
        <f t="shared" si="2"/>
        <v>0.90549677686737617</v>
      </c>
      <c r="AO21" s="29">
        <f t="shared" si="2"/>
        <v>0.3404053035507329</v>
      </c>
      <c r="AP21" s="29">
        <f t="shared" si="2"/>
        <v>0.54902804936434935</v>
      </c>
      <c r="AQ21" s="3">
        <f t="shared" si="14"/>
        <v>299711535.88531095</v>
      </c>
    </row>
    <row r="22" spans="1:43">
      <c r="A22">
        <v>10</v>
      </c>
      <c r="B22">
        <v>109</v>
      </c>
      <c r="C22">
        <v>950</v>
      </c>
      <c r="D22" s="1">
        <v>9.9399999999999992E-3</v>
      </c>
      <c r="E22" s="1">
        <v>1.0189999999999999E-2</v>
      </c>
      <c r="F22">
        <f t="shared" ref="F22:F32" si="16">ABS(E22-D22)</f>
        <v>2.5000000000000022E-4</v>
      </c>
      <c r="G22" s="30">
        <f t="shared" ref="G22:G32" si="17">2*PI()*B22</f>
        <v>684.86719848257485</v>
      </c>
      <c r="H22" s="30">
        <f t="shared" ref="H22:H32" si="18">2*PI()*C22</f>
        <v>5969.0260418206071</v>
      </c>
      <c r="K22">
        <f t="shared" ref="K22:K32" si="19">((4*$B$3*(2*$B$4+$B$3-2*$B$2)*$B$2*(H22-G22))/(($B$5-$B$2)^2*F22)*$C$3)^2</f>
        <v>54442253606319.18</v>
      </c>
      <c r="L22">
        <f t="shared" ref="L22:L32" si="20">((4*$B$6*$B$2*(G22-H22)/(($B$5-$B$2)^2*F22))*$C$4)^2</f>
        <v>11040179674.159666</v>
      </c>
      <c r="M22">
        <f t="shared" ref="M22:M32" si="21">((4*$B$6*$B$5*(H22-G22)/(($B$5-$B$2)^2*F22))*$C$2)^2</f>
        <v>82135736822.131546</v>
      </c>
      <c r="O22" s="30">
        <f t="shared" ref="O22:O32" si="22">4*$B$2*$B$6*ABS(H22-G22)/(($B$5-$B$2)*F22)</f>
        <v>281400525.95596993</v>
      </c>
      <c r="P22">
        <f t="shared" ref="P22:P32" si="23">SQRT(K22+L22+M22)</f>
        <v>7384810.730331243</v>
      </c>
      <c r="Q22" s="30">
        <f t="shared" si="11"/>
        <v>11904998.997943437</v>
      </c>
      <c r="R22" s="2">
        <f t="shared" si="12"/>
        <v>4.2306242881032081E-2</v>
      </c>
      <c r="S22" s="2">
        <f t="shared" si="15"/>
        <v>-2.4795503362236726</v>
      </c>
      <c r="U22" s="20">
        <v>10</v>
      </c>
      <c r="V22" s="38" t="str">
        <f t="shared" si="13"/>
        <v>0.119E+08</v>
      </c>
      <c r="W22" s="32">
        <f t="shared" si="0"/>
        <v>291236072.21959162</v>
      </c>
      <c r="X22" s="26">
        <f t="shared" si="1"/>
        <v>1.0752146158768892</v>
      </c>
      <c r="Y22" s="27">
        <f t="shared" si="1"/>
        <v>0.57958977231396314</v>
      </c>
      <c r="Z22" s="27">
        <f t="shared" si="1"/>
        <v>1.0856790419143869</v>
      </c>
      <c r="AA22" s="27">
        <f t="shared" si="1"/>
        <v>0.59754967638041123</v>
      </c>
      <c r="AB22" s="27">
        <f t="shared" si="1"/>
        <v>0.40041590929851389</v>
      </c>
      <c r="AC22" s="27">
        <f t="shared" si="1"/>
        <v>0.42562114259347406</v>
      </c>
      <c r="AD22" s="27">
        <f t="shared" si="1"/>
        <v>0.53256309524563294</v>
      </c>
      <c r="AE22" s="27">
        <f t="shared" si="1"/>
        <v>0.61121470705789882</v>
      </c>
      <c r="AF22" s="27">
        <f t="shared" si="1"/>
        <v>0.5771155750791529</v>
      </c>
      <c r="AG22" s="27">
        <f t="shared" si="1"/>
        <v>0</v>
      </c>
      <c r="AH22" s="27">
        <f t="shared" si="2"/>
        <v>0.26127332409771942</v>
      </c>
      <c r="AI22" s="27">
        <f t="shared" si="2"/>
        <v>0.88863717649466545</v>
      </c>
      <c r="AJ22" s="27">
        <f t="shared" si="2"/>
        <v>0.74173792265804706</v>
      </c>
      <c r="AK22" s="27">
        <f t="shared" si="2"/>
        <v>0.44671140319426139</v>
      </c>
      <c r="AL22" s="27">
        <f t="shared" si="2"/>
        <v>0.35573130913266698</v>
      </c>
      <c r="AM22" s="27">
        <f t="shared" si="2"/>
        <v>0.1420830645897693</v>
      </c>
      <c r="AN22" s="27">
        <f t="shared" si="2"/>
        <v>0.3372464183388697</v>
      </c>
      <c r="AO22" s="27">
        <f t="shared" si="2"/>
        <v>0.2324995602377897</v>
      </c>
      <c r="AP22" s="27">
        <f t="shared" si="2"/>
        <v>2.6051252731109514E-2</v>
      </c>
      <c r="AQ22" s="3">
        <f t="shared" si="14"/>
        <v>299711535.88531095</v>
      </c>
    </row>
    <row r="23" spans="1:43">
      <c r="A23">
        <v>11</v>
      </c>
      <c r="B23">
        <v>119</v>
      </c>
      <c r="C23">
        <v>1442</v>
      </c>
      <c r="D23" s="1">
        <v>9.9500000000000005E-3</v>
      </c>
      <c r="E23" s="1">
        <v>1.0330000000000001E-2</v>
      </c>
      <c r="F23">
        <f t="shared" si="16"/>
        <v>3.8000000000000013E-4</v>
      </c>
      <c r="G23" s="30">
        <f t="shared" si="17"/>
        <v>747.69905155437073</v>
      </c>
      <c r="H23" s="30">
        <f t="shared" si="18"/>
        <v>9060.3532129529631</v>
      </c>
      <c r="K23">
        <f t="shared" si="19"/>
        <v>58314507910919.969</v>
      </c>
      <c r="L23">
        <f t="shared" si="20"/>
        <v>11825422393.463055</v>
      </c>
      <c r="M23">
        <f t="shared" si="21"/>
        <v>87977715054.166763</v>
      </c>
      <c r="O23" s="30">
        <f t="shared" si="22"/>
        <v>291236072.21959162</v>
      </c>
      <c r="P23">
        <f t="shared" si="23"/>
        <v>7642925.5555950301</v>
      </c>
      <c r="Q23" s="30">
        <f t="shared" si="11"/>
        <v>12066809.13359395</v>
      </c>
      <c r="R23" s="2">
        <f t="shared" si="12"/>
        <v>4.1433085680731167E-2</v>
      </c>
      <c r="S23" s="2">
        <f t="shared" si="15"/>
        <v>-1.1089292449688768</v>
      </c>
      <c r="U23" s="20">
        <v>11</v>
      </c>
      <c r="V23" s="38" t="str">
        <f t="shared" si="13"/>
        <v>0.121E+08</v>
      </c>
      <c r="W23" s="32">
        <f t="shared" si="0"/>
        <v>286801962.92437816</v>
      </c>
      <c r="X23" s="28">
        <f t="shared" ref="X23:AG31" si="24">ABS(($W23-X$12)/SQRT($V23^2+X$11^2))</f>
        <v>1.3205507400589251</v>
      </c>
      <c r="Y23" s="29">
        <f t="shared" si="24"/>
        <v>0.31900608859895341</v>
      </c>
      <c r="Z23" s="29">
        <f t="shared" si="24"/>
        <v>1.3378676595640269</v>
      </c>
      <c r="AA23" s="29">
        <f t="shared" si="24"/>
        <v>0.84868364816473663</v>
      </c>
      <c r="AB23" s="29">
        <f t="shared" si="24"/>
        <v>0.13909320689209259</v>
      </c>
      <c r="AC23" s="29">
        <f t="shared" si="24"/>
        <v>0.68228507467631028</v>
      </c>
      <c r="AD23" s="29">
        <f t="shared" si="24"/>
        <v>0.27016180569422477</v>
      </c>
      <c r="AE23" s="29">
        <f t="shared" si="24"/>
        <v>0.86737353048276855</v>
      </c>
      <c r="AF23" s="29">
        <f t="shared" si="24"/>
        <v>0.31435064757600689</v>
      </c>
      <c r="AG23" s="29">
        <f t="shared" si="24"/>
        <v>0.26127332409771942</v>
      </c>
      <c r="AH23" s="29">
        <f t="shared" ref="AH23:AP31" si="25">ABS(($W23-AH$12)/SQRT($V23^2+AH$11^2))</f>
        <v>0</v>
      </c>
      <c r="AI23" s="29">
        <f t="shared" si="25"/>
        <v>1.1414587182971492</v>
      </c>
      <c r="AJ23" s="29">
        <f t="shared" si="25"/>
        <v>0.99272431945104456</v>
      </c>
      <c r="AK23" s="29">
        <f t="shared" si="25"/>
        <v>0.70008591227153782</v>
      </c>
      <c r="AL23" s="29">
        <f t="shared" si="25"/>
        <v>0.61088232756661331</v>
      </c>
      <c r="AM23" s="29">
        <f t="shared" si="25"/>
        <v>0.39897788292729597</v>
      </c>
      <c r="AN23" s="29">
        <f t="shared" si="25"/>
        <v>0.59359390811038559</v>
      </c>
      <c r="AO23" s="29">
        <f t="shared" si="25"/>
        <v>2.7452606623497022E-2</v>
      </c>
      <c r="AP23" s="29">
        <f t="shared" si="25"/>
        <v>0.2343609331801654</v>
      </c>
      <c r="AQ23" s="3">
        <f t="shared" si="14"/>
        <v>299711535.88531095</v>
      </c>
    </row>
    <row r="24" spans="1:43">
      <c r="A24">
        <v>12</v>
      </c>
      <c r="B24">
        <v>120</v>
      </c>
      <c r="C24" s="1">
        <v>1440</v>
      </c>
      <c r="D24" s="1">
        <v>9.9399999999999992E-3</v>
      </c>
      <c r="E24" s="1">
        <v>1.0325000000000001E-2</v>
      </c>
      <c r="F24">
        <f t="shared" si="16"/>
        <v>3.8500000000000166E-4</v>
      </c>
      <c r="G24" s="30">
        <f t="shared" si="17"/>
        <v>753.98223686155029</v>
      </c>
      <c r="H24" s="30">
        <f t="shared" si="18"/>
        <v>9047.7868423386044</v>
      </c>
      <c r="K24">
        <f t="shared" si="19"/>
        <v>56552332672081.414</v>
      </c>
      <c r="L24">
        <f t="shared" si="20"/>
        <v>11468076215.349024</v>
      </c>
      <c r="M24">
        <f t="shared" si="21"/>
        <v>85319163064.413666</v>
      </c>
      <c r="O24" s="30">
        <f t="shared" si="22"/>
        <v>286801962.92437816</v>
      </c>
      <c r="P24">
        <f t="shared" si="23"/>
        <v>7526560.96177804</v>
      </c>
      <c r="Q24" s="30">
        <f t="shared" si="11"/>
        <v>11993443.689348774</v>
      </c>
      <c r="R24" s="2">
        <f t="shared" si="12"/>
        <v>4.1817857754729237E-2</v>
      </c>
      <c r="S24" s="2">
        <f t="shared" ref="S24:S32" si="26">(O24-$B$10)/P24</f>
        <v>-1.7152020725655683</v>
      </c>
      <c r="U24" s="20">
        <v>12</v>
      </c>
      <c r="V24" s="38" t="str">
        <f t="shared" si="13"/>
        <v>0.120E+08</v>
      </c>
      <c r="W24" s="32">
        <f t="shared" si="0"/>
        <v>306254040.50235146</v>
      </c>
      <c r="X24" s="26">
        <f t="shared" si="24"/>
        <v>0.20786068744805353</v>
      </c>
      <c r="Y24" s="27">
        <f t="shared" si="24"/>
        <v>1.4475770971222688</v>
      </c>
      <c r="Z24" s="27">
        <f t="shared" si="24"/>
        <v>0.19248981184667738</v>
      </c>
      <c r="AA24" s="27">
        <f t="shared" si="24"/>
        <v>0.27517137943264458</v>
      </c>
      <c r="AB24" s="27">
        <f t="shared" si="24"/>
        <v>1.2763772989752513</v>
      </c>
      <c r="AC24" s="27">
        <f t="shared" si="24"/>
        <v>0.46109083646223276</v>
      </c>
      <c r="AD24" s="27">
        <f t="shared" si="24"/>
        <v>1.4079841235831656</v>
      </c>
      <c r="AE24" s="27">
        <f t="shared" si="24"/>
        <v>0.27998518086781166</v>
      </c>
      <c r="AF24" s="27">
        <f t="shared" si="24"/>
        <v>1.4523544244508968</v>
      </c>
      <c r="AG24" s="27">
        <f t="shared" si="24"/>
        <v>0.88863717649466545</v>
      </c>
      <c r="AH24" s="27">
        <f t="shared" si="25"/>
        <v>1.1414587182971492</v>
      </c>
      <c r="AI24" s="27">
        <f t="shared" si="25"/>
        <v>0</v>
      </c>
      <c r="AJ24" s="27">
        <f t="shared" si="25"/>
        <v>0.13522034729204496</v>
      </c>
      <c r="AK24" s="27">
        <f t="shared" si="25"/>
        <v>0.42905050735393369</v>
      </c>
      <c r="AL24" s="27">
        <f t="shared" si="25"/>
        <v>0.52332203229967578</v>
      </c>
      <c r="AM24" s="27">
        <f t="shared" si="25"/>
        <v>0.73609665058475693</v>
      </c>
      <c r="AN24" s="27">
        <f t="shared" si="25"/>
        <v>0.54540689611458337</v>
      </c>
      <c r="AO24" s="27">
        <f t="shared" si="25"/>
        <v>1.1091475744733668</v>
      </c>
      <c r="AP24" s="27">
        <f t="shared" si="25"/>
        <v>0.91088520062793699</v>
      </c>
      <c r="AQ24" s="3">
        <f t="shared" si="14"/>
        <v>299711535.88531095</v>
      </c>
    </row>
    <row r="25" spans="1:43">
      <c r="A25">
        <v>13</v>
      </c>
      <c r="B25">
        <v>102</v>
      </c>
      <c r="C25">
        <v>1420</v>
      </c>
      <c r="D25" s="1">
        <v>9.9399999999999992E-3</v>
      </c>
      <c r="E25" s="1">
        <v>1.03E-2</v>
      </c>
      <c r="F25">
        <f t="shared" si="16"/>
        <v>3.6000000000000094E-4</v>
      </c>
      <c r="G25" s="30">
        <f t="shared" si="17"/>
        <v>640.88490133231778</v>
      </c>
      <c r="H25" s="30">
        <f t="shared" si="18"/>
        <v>8922.1231361950122</v>
      </c>
      <c r="K25">
        <f t="shared" si="19"/>
        <v>64483698542151.539</v>
      </c>
      <c r="L25">
        <f t="shared" si="20"/>
        <v>13076453871.796885</v>
      </c>
      <c r="M25">
        <f t="shared" si="21"/>
        <v>97285026646.308105</v>
      </c>
      <c r="O25" s="30">
        <f t="shared" si="22"/>
        <v>306254040.50235146</v>
      </c>
      <c r="P25">
        <f t="shared" si="23"/>
        <v>8037042.9899727199</v>
      </c>
      <c r="Q25" s="30">
        <f t="shared" si="11"/>
        <v>12320212.321258444</v>
      </c>
      <c r="R25" s="2">
        <f t="shared" si="12"/>
        <v>4.0228733965597584E-2</v>
      </c>
      <c r="S25" s="2">
        <f t="shared" si="26"/>
        <v>0.81404375032000698</v>
      </c>
      <c r="U25" s="20">
        <v>13</v>
      </c>
      <c r="V25" s="38" t="str">
        <f t="shared" si="13"/>
        <v>0.123E+08</v>
      </c>
      <c r="W25" s="32">
        <f t="shared" si="0"/>
        <v>303930413.48791933</v>
      </c>
      <c r="X25" s="28">
        <f t="shared" si="24"/>
        <v>0.33736501128438695</v>
      </c>
      <c r="Y25" s="29">
        <f t="shared" si="24"/>
        <v>1.2971360158135796</v>
      </c>
      <c r="Z25" s="29">
        <f t="shared" si="24"/>
        <v>0.32585018567636187</v>
      </c>
      <c r="AA25" s="29">
        <f t="shared" si="24"/>
        <v>0.13882392142483999</v>
      </c>
      <c r="AB25" s="29">
        <f t="shared" si="24"/>
        <v>1.1266551309426196</v>
      </c>
      <c r="AC25" s="29">
        <f t="shared" si="24"/>
        <v>0.32014330872413793</v>
      </c>
      <c r="AD25" s="29">
        <f t="shared" si="24"/>
        <v>1.2566537998975182</v>
      </c>
      <c r="AE25" s="29">
        <f t="shared" si="24"/>
        <v>0.14070803472403265</v>
      </c>
      <c r="AF25" s="29">
        <f t="shared" si="24"/>
        <v>1.3004819225736624</v>
      </c>
      <c r="AG25" s="29">
        <f t="shared" si="24"/>
        <v>0.74173792265804706</v>
      </c>
      <c r="AH25" s="29">
        <f t="shared" si="25"/>
        <v>0.99272431945104456</v>
      </c>
      <c r="AI25" s="29">
        <f t="shared" si="25"/>
        <v>0.13522034729204496</v>
      </c>
      <c r="AJ25" s="29">
        <f t="shared" si="25"/>
        <v>0</v>
      </c>
      <c r="AK25" s="29">
        <f t="shared" si="25"/>
        <v>0.29026898368691134</v>
      </c>
      <c r="AL25" s="29">
        <f t="shared" si="25"/>
        <v>0.38280174333179212</v>
      </c>
      <c r="AM25" s="29">
        <f t="shared" si="25"/>
        <v>0.59297638470661185</v>
      </c>
      <c r="AN25" s="29">
        <f t="shared" si="25"/>
        <v>0.40401571140445353</v>
      </c>
      <c r="AO25" s="29">
        <f t="shared" si="25"/>
        <v>0.96146885234569601</v>
      </c>
      <c r="AP25" s="29">
        <f t="shared" si="25"/>
        <v>0.76435080521977894</v>
      </c>
      <c r="AQ25" s="3">
        <f t="shared" si="14"/>
        <v>299711535.88531095</v>
      </c>
    </row>
    <row r="26" spans="1:43">
      <c r="A26">
        <v>14</v>
      </c>
      <c r="B26">
        <v>127</v>
      </c>
      <c r="C26">
        <v>1435</v>
      </c>
      <c r="D26" s="1">
        <v>9.9500000000000005E-3</v>
      </c>
      <c r="E26" s="1">
        <v>1.031E-2</v>
      </c>
      <c r="F26">
        <f t="shared" si="16"/>
        <v>3.5999999999999921E-4</v>
      </c>
      <c r="G26" s="30">
        <f t="shared" si="17"/>
        <v>797.96453401180747</v>
      </c>
      <c r="H26" s="30">
        <f t="shared" si="18"/>
        <v>9016.3709158027068</v>
      </c>
      <c r="K26">
        <f t="shared" si="19"/>
        <v>63508902313606.063</v>
      </c>
      <c r="L26">
        <f t="shared" si="20"/>
        <v>12878777897.788601</v>
      </c>
      <c r="M26">
        <f t="shared" si="21"/>
        <v>95814374695.307205</v>
      </c>
      <c r="O26" s="30">
        <f t="shared" si="22"/>
        <v>303930413.48791933</v>
      </c>
      <c r="P26">
        <f t="shared" si="23"/>
        <v>7976063.9081065012</v>
      </c>
      <c r="Q26" s="30">
        <f t="shared" si="11"/>
        <v>12280519.821425229</v>
      </c>
      <c r="R26" s="2">
        <f t="shared" si="12"/>
        <v>4.0405695765992691E-2</v>
      </c>
      <c r="S26" s="2">
        <f t="shared" si="26"/>
        <v>0.52894230176873469</v>
      </c>
      <c r="U26" s="20">
        <v>14</v>
      </c>
      <c r="V26" s="38" t="str">
        <f t="shared" si="13"/>
        <v>0.123E+08</v>
      </c>
      <c r="W26" s="32">
        <f t="shared" si="0"/>
        <v>298881234.78628403</v>
      </c>
      <c r="X26" s="26">
        <f t="shared" si="24"/>
        <v>0.62411596682191495</v>
      </c>
      <c r="Y26" s="27">
        <f t="shared" si="24"/>
        <v>1.0080445794409423</v>
      </c>
      <c r="Z26" s="27">
        <f t="shared" si="24"/>
        <v>0.62087670514014748</v>
      </c>
      <c r="AA26" s="27">
        <f t="shared" si="24"/>
        <v>0.15026751494779728</v>
      </c>
      <c r="AB26" s="27">
        <f t="shared" si="24"/>
        <v>0.83520380363310831</v>
      </c>
      <c r="AC26" s="27">
        <f t="shared" si="24"/>
        <v>2.6313148662249219E-2</v>
      </c>
      <c r="AD26" s="27">
        <f t="shared" si="24"/>
        <v>0.96520247258800684</v>
      </c>
      <c r="AE26" s="27">
        <f t="shared" si="24"/>
        <v>0.15431848473975299</v>
      </c>
      <c r="AF26" s="27">
        <f t="shared" si="24"/>
        <v>1.009030595264151</v>
      </c>
      <c r="AG26" s="27">
        <f t="shared" si="24"/>
        <v>0.44671140319426139</v>
      </c>
      <c r="AH26" s="27">
        <f t="shared" si="25"/>
        <v>0.70008591227153782</v>
      </c>
      <c r="AI26" s="27">
        <f t="shared" si="25"/>
        <v>0.42905050735393369</v>
      </c>
      <c r="AJ26" s="27">
        <f t="shared" si="25"/>
        <v>0.29026898368691134</v>
      </c>
      <c r="AK26" s="27">
        <f t="shared" si="25"/>
        <v>0</v>
      </c>
      <c r="AL26" s="27">
        <f t="shared" si="25"/>
        <v>9.1350416022280737E-2</v>
      </c>
      <c r="AM26" s="27">
        <f t="shared" si="25"/>
        <v>0.3015250573971005</v>
      </c>
      <c r="AN26" s="27">
        <f t="shared" si="25"/>
        <v>0.11137730422494681</v>
      </c>
      <c r="AO26" s="27">
        <f t="shared" si="25"/>
        <v>0.67001752503618461</v>
      </c>
      <c r="AP26" s="27">
        <f t="shared" si="25"/>
        <v>0.47052064515789027</v>
      </c>
      <c r="AQ26" s="3">
        <f t="shared" si="14"/>
        <v>299711535.88531095</v>
      </c>
    </row>
    <row r="27" spans="1:43">
      <c r="A27">
        <v>15</v>
      </c>
      <c r="B27">
        <v>114</v>
      </c>
      <c r="C27">
        <v>1436</v>
      </c>
      <c r="D27" s="1">
        <v>9.9399999999999992E-3</v>
      </c>
      <c r="E27" s="1">
        <v>1.031E-2</v>
      </c>
      <c r="F27">
        <f t="shared" si="16"/>
        <v>3.7000000000000054E-4</v>
      </c>
      <c r="G27" s="30">
        <f t="shared" si="17"/>
        <v>716.28312501847279</v>
      </c>
      <c r="H27" s="30">
        <f t="shared" si="18"/>
        <v>9022.6541011098852</v>
      </c>
      <c r="K27">
        <f t="shared" si="19"/>
        <v>61416290552081.367</v>
      </c>
      <c r="L27">
        <f t="shared" si="20"/>
        <v>12454423498.307779</v>
      </c>
      <c r="M27">
        <f t="shared" si="21"/>
        <v>92657300960.660492</v>
      </c>
      <c r="O27" s="30">
        <f t="shared" si="22"/>
        <v>298881234.78628403</v>
      </c>
      <c r="P27">
        <f t="shared" si="23"/>
        <v>7843558.0112943854</v>
      </c>
      <c r="Q27" s="30">
        <f t="shared" si="11"/>
        <v>12194874.902792528</v>
      </c>
      <c r="R27" s="2">
        <f t="shared" si="12"/>
        <v>4.0801741573078393E-2</v>
      </c>
      <c r="S27" s="2">
        <f t="shared" si="26"/>
        <v>-0.10585771123657409</v>
      </c>
      <c r="U27" s="20">
        <v>15</v>
      </c>
      <c r="V27" s="38" t="str">
        <f t="shared" si="13"/>
        <v>0.122E+08</v>
      </c>
      <c r="W27" s="32">
        <f t="shared" si="0"/>
        <v>297298656.3872658</v>
      </c>
      <c r="X27" s="28">
        <f t="shared" si="24"/>
        <v>0.71683093069741621</v>
      </c>
      <c r="Y27" s="29">
        <f t="shared" si="24"/>
        <v>0.92114034355034513</v>
      </c>
      <c r="Z27" s="29">
        <f t="shared" si="24"/>
        <v>0.71634999640833807</v>
      </c>
      <c r="AA27" s="29">
        <f t="shared" si="24"/>
        <v>0.24185143288981198</v>
      </c>
      <c r="AB27" s="29">
        <f t="shared" si="24"/>
        <v>0.74690818863306607</v>
      </c>
      <c r="AC27" s="29">
        <f t="shared" si="24"/>
        <v>6.6057479532851363E-2</v>
      </c>
      <c r="AD27" s="29">
        <f t="shared" si="24"/>
        <v>0.87744072632262027</v>
      </c>
      <c r="AE27" s="29">
        <f t="shared" si="24"/>
        <v>0.24782815532291352</v>
      </c>
      <c r="AF27" s="29">
        <f t="shared" si="24"/>
        <v>0.92144883902930508</v>
      </c>
      <c r="AG27" s="29">
        <f t="shared" si="24"/>
        <v>0.35573130913266698</v>
      </c>
      <c r="AH27" s="29">
        <f t="shared" si="25"/>
        <v>0.61088232756661331</v>
      </c>
      <c r="AI27" s="29">
        <f t="shared" si="25"/>
        <v>0.52332203229967578</v>
      </c>
      <c r="AJ27" s="29">
        <f t="shared" si="25"/>
        <v>0.38280174333179212</v>
      </c>
      <c r="AK27" s="29">
        <f t="shared" si="25"/>
        <v>9.1350416022280737E-2</v>
      </c>
      <c r="AL27" s="29">
        <f t="shared" si="25"/>
        <v>0</v>
      </c>
      <c r="AM27" s="29">
        <f t="shared" si="25"/>
        <v>0.21103777074952434</v>
      </c>
      <c r="AN27" s="29">
        <f t="shared" si="25"/>
        <v>1.9736198275244074E-2</v>
      </c>
      <c r="AO27" s="29">
        <f t="shared" si="25"/>
        <v>0.58104353547857224</v>
      </c>
      <c r="AP27" s="29">
        <f t="shared" si="25"/>
        <v>0.38000434278687162</v>
      </c>
      <c r="AQ27" s="3">
        <f t="shared" si="14"/>
        <v>299711535.88531095</v>
      </c>
    </row>
    <row r="28" spans="1:43">
      <c r="A28">
        <v>16</v>
      </c>
      <c r="B28">
        <v>107</v>
      </c>
      <c r="C28">
        <v>1422</v>
      </c>
      <c r="D28" s="1">
        <v>9.9500000000000005E-3</v>
      </c>
      <c r="E28" s="1">
        <v>1.0319999999999999E-2</v>
      </c>
      <c r="F28">
        <f t="shared" si="16"/>
        <v>3.699999999999988E-4</v>
      </c>
      <c r="G28" s="30">
        <f t="shared" si="17"/>
        <v>672.30082786821572</v>
      </c>
      <c r="H28" s="30">
        <f t="shared" si="18"/>
        <v>8934.6895068093709</v>
      </c>
      <c r="K28">
        <f t="shared" si="19"/>
        <v>60767613040986.781</v>
      </c>
      <c r="L28">
        <f t="shared" si="20"/>
        <v>12322880151.023567</v>
      </c>
      <c r="M28">
        <f t="shared" si="21"/>
        <v>91678656584.199219</v>
      </c>
      <c r="O28" s="30">
        <f t="shared" si="22"/>
        <v>297298656.3872658</v>
      </c>
      <c r="P28">
        <f t="shared" si="23"/>
        <v>7802026.3122936208</v>
      </c>
      <c r="Q28" s="30">
        <f t="shared" si="11"/>
        <v>12168203.901806574</v>
      </c>
      <c r="R28" s="2">
        <f t="shared" si="12"/>
        <v>4.0929226016938616E-2</v>
      </c>
      <c r="S28" s="2">
        <f t="shared" si="26"/>
        <v>-0.30926318387867807</v>
      </c>
      <c r="U28" s="20">
        <v>16</v>
      </c>
      <c r="V28" s="38" t="str">
        <f t="shared" si="13"/>
        <v>0.122E+08</v>
      </c>
      <c r="W28" s="32">
        <f t="shared" si="0"/>
        <v>293657536.16094887</v>
      </c>
      <c r="X28" s="26">
        <f t="shared" si="24"/>
        <v>0.92443786416726381</v>
      </c>
      <c r="Y28" s="27">
        <f t="shared" si="24"/>
        <v>0.71182524459818375</v>
      </c>
      <c r="Z28" s="27">
        <f t="shared" si="24"/>
        <v>0.92999824095123573</v>
      </c>
      <c r="AA28" s="27">
        <f t="shared" si="24"/>
        <v>0.45116653184197331</v>
      </c>
      <c r="AB28" s="27">
        <f t="shared" si="24"/>
        <v>0.53587041788354173</v>
      </c>
      <c r="AC28" s="27">
        <f t="shared" si="24"/>
        <v>0.2788320978179325</v>
      </c>
      <c r="AD28" s="27">
        <f t="shared" si="24"/>
        <v>0.66640295557309603</v>
      </c>
      <c r="AE28" s="27">
        <f t="shared" si="24"/>
        <v>0.46147639986581118</v>
      </c>
      <c r="AF28" s="27">
        <f t="shared" si="24"/>
        <v>0.71041106827978073</v>
      </c>
      <c r="AG28" s="27">
        <f t="shared" si="24"/>
        <v>0.1420830645897693</v>
      </c>
      <c r="AH28" s="27">
        <f t="shared" si="25"/>
        <v>0.39897788292729597</v>
      </c>
      <c r="AI28" s="27">
        <f t="shared" si="25"/>
        <v>0.73609665058475693</v>
      </c>
      <c r="AJ28" s="27">
        <f t="shared" si="25"/>
        <v>0.59297638470661185</v>
      </c>
      <c r="AK28" s="27">
        <f t="shared" si="25"/>
        <v>0.3015250573971005</v>
      </c>
      <c r="AL28" s="27">
        <f t="shared" si="25"/>
        <v>0.21103777074952434</v>
      </c>
      <c r="AM28" s="27">
        <f t="shared" si="25"/>
        <v>0</v>
      </c>
      <c r="AN28" s="27">
        <f t="shared" si="25"/>
        <v>0.19216824636407329</v>
      </c>
      <c r="AO28" s="27">
        <f t="shared" si="25"/>
        <v>0.37000576472904784</v>
      </c>
      <c r="AP28" s="27">
        <f t="shared" si="25"/>
        <v>0.16722972450179049</v>
      </c>
      <c r="AQ28" s="3">
        <f t="shared" si="14"/>
        <v>299711535.88531095</v>
      </c>
    </row>
    <row r="29" spans="1:43">
      <c r="A29">
        <v>17</v>
      </c>
      <c r="B29">
        <v>109</v>
      </c>
      <c r="C29" s="1">
        <v>1443</v>
      </c>
      <c r="D29" s="1">
        <v>9.9500000000000005E-3</v>
      </c>
      <c r="E29" s="1">
        <v>1.0330000000000001E-2</v>
      </c>
      <c r="F29">
        <f t="shared" si="16"/>
        <v>3.8000000000000013E-4</v>
      </c>
      <c r="G29" s="30">
        <f t="shared" si="17"/>
        <v>684.86719848257485</v>
      </c>
      <c r="H29" s="30">
        <f t="shared" si="18"/>
        <v>9066.6363982601433</v>
      </c>
      <c r="K29">
        <f t="shared" si="19"/>
        <v>59288243775841.648</v>
      </c>
      <c r="L29">
        <f t="shared" si="20"/>
        <v>12022883339.544477</v>
      </c>
      <c r="M29">
        <f t="shared" si="21"/>
        <v>89446767259.716782</v>
      </c>
      <c r="O29" s="30">
        <f t="shared" si="22"/>
        <v>293657536.16094887</v>
      </c>
      <c r="P29">
        <f t="shared" si="23"/>
        <v>7706472.1777503947</v>
      </c>
      <c r="Q29" s="30">
        <f t="shared" si="11"/>
        <v>12107158.421556219</v>
      </c>
      <c r="R29" s="2">
        <f t="shared" si="12"/>
        <v>4.1228836078364715E-2</v>
      </c>
      <c r="S29" s="2">
        <f t="shared" si="26"/>
        <v>-0.78557342253706874</v>
      </c>
      <c r="U29" s="20">
        <v>17</v>
      </c>
      <c r="V29" s="38" t="str">
        <f t="shared" si="13"/>
        <v>0.121E+08</v>
      </c>
      <c r="W29" s="32">
        <f t="shared" si="0"/>
        <v>296959532.4446184</v>
      </c>
      <c r="X29" s="28">
        <f t="shared" si="24"/>
        <v>0.73909202455989764</v>
      </c>
      <c r="Y29" s="29">
        <f t="shared" si="24"/>
        <v>0.90528754872690953</v>
      </c>
      <c r="Z29" s="29">
        <f t="shared" si="24"/>
        <v>0.73934791712743764</v>
      </c>
      <c r="AA29" s="29">
        <f t="shared" si="24"/>
        <v>0.26240218803678056</v>
      </c>
      <c r="AB29" s="29">
        <f t="shared" si="24"/>
        <v>0.73023933618346193</v>
      </c>
      <c r="AC29" s="29">
        <f t="shared" si="24"/>
        <v>8.6233252493744417E-2</v>
      </c>
      <c r="AD29" s="29">
        <f t="shared" si="24"/>
        <v>0.86130793498559399</v>
      </c>
      <c r="AE29" s="29">
        <f t="shared" si="24"/>
        <v>0.26885378804617943</v>
      </c>
      <c r="AF29" s="29">
        <f t="shared" si="24"/>
        <v>0.90549677686737617</v>
      </c>
      <c r="AG29" s="29">
        <f t="shared" si="24"/>
        <v>0.3372464183388697</v>
      </c>
      <c r="AH29" s="29">
        <f t="shared" si="25"/>
        <v>0.59359390811038559</v>
      </c>
      <c r="AI29" s="29">
        <f t="shared" si="25"/>
        <v>0.54540689611458337</v>
      </c>
      <c r="AJ29" s="29">
        <f t="shared" si="25"/>
        <v>0.40401571140445353</v>
      </c>
      <c r="AK29" s="29">
        <f t="shared" si="25"/>
        <v>0.11137730422494681</v>
      </c>
      <c r="AL29" s="29">
        <f t="shared" si="25"/>
        <v>1.9736198275244074E-2</v>
      </c>
      <c r="AM29" s="29">
        <f t="shared" si="25"/>
        <v>0.19216824636407329</v>
      </c>
      <c r="AN29" s="29">
        <f t="shared" si="25"/>
        <v>0</v>
      </c>
      <c r="AO29" s="29">
        <f t="shared" si="25"/>
        <v>0.5636935226678722</v>
      </c>
      <c r="AP29" s="29">
        <f t="shared" si="25"/>
        <v>0.36169088900240043</v>
      </c>
      <c r="AQ29" s="3">
        <f t="shared" si="14"/>
        <v>299711535.88531095</v>
      </c>
    </row>
    <row r="30" spans="1:43">
      <c r="A30">
        <v>18</v>
      </c>
      <c r="B30">
        <v>144</v>
      </c>
      <c r="C30">
        <v>1422</v>
      </c>
      <c r="D30" s="1">
        <v>9.9600000000000001E-3</v>
      </c>
      <c r="E30" s="1">
        <v>1.0319999999999999E-2</v>
      </c>
      <c r="F30">
        <f t="shared" si="16"/>
        <v>3.5999999999999921E-4</v>
      </c>
      <c r="G30" s="30">
        <f t="shared" si="17"/>
        <v>904.77868423386042</v>
      </c>
      <c r="H30" s="30">
        <f t="shared" si="18"/>
        <v>8934.6895068093709</v>
      </c>
      <c r="K30">
        <f t="shared" si="19"/>
        <v>60629058771694.141</v>
      </c>
      <c r="L30">
        <f t="shared" si="20"/>
        <v>12294783150.508602</v>
      </c>
      <c r="M30">
        <f t="shared" si="21"/>
        <v>91469623044.175446</v>
      </c>
      <c r="O30" s="30">
        <f t="shared" si="22"/>
        <v>296959532.4446184</v>
      </c>
      <c r="P30">
        <f t="shared" si="23"/>
        <v>7793126.6625077268</v>
      </c>
      <c r="Q30" s="30">
        <f t="shared" si="11"/>
        <v>12162499.529130828</v>
      </c>
      <c r="R30" s="2">
        <f t="shared" si="12"/>
        <v>4.0956757403970784E-2</v>
      </c>
      <c r="S30" s="2">
        <f t="shared" si="26"/>
        <v>-0.3531321329514982</v>
      </c>
      <c r="U30" s="20">
        <v>18</v>
      </c>
      <c r="V30" s="38" t="str">
        <f t="shared" si="13"/>
        <v>0.122E+08</v>
      </c>
      <c r="W30" s="32">
        <f t="shared" si="0"/>
        <v>287273676.67918909</v>
      </c>
      <c r="X30" s="26">
        <f t="shared" si="24"/>
        <v>1.2884284517703442</v>
      </c>
      <c r="Y30" s="27">
        <f t="shared" si="24"/>
        <v>0.34483978516091701</v>
      </c>
      <c r="Z30" s="27">
        <f t="shared" si="24"/>
        <v>1.3045808657787947</v>
      </c>
      <c r="AA30" s="27">
        <f t="shared" si="24"/>
        <v>0.8181519912792401</v>
      </c>
      <c r="AB30" s="27">
        <f t="shared" si="24"/>
        <v>0.16586465315449392</v>
      </c>
      <c r="AC30" s="27">
        <f t="shared" si="24"/>
        <v>0.65188302170654233</v>
      </c>
      <c r="AD30" s="27">
        <f t="shared" si="24"/>
        <v>0.29639719084404814</v>
      </c>
      <c r="AE30" s="27">
        <f t="shared" si="24"/>
        <v>0.83605902469337023</v>
      </c>
      <c r="AF30" s="27">
        <f t="shared" si="24"/>
        <v>0.3404053035507329</v>
      </c>
      <c r="AG30" s="27">
        <f t="shared" si="24"/>
        <v>0.2324995602377897</v>
      </c>
      <c r="AH30" s="27">
        <f t="shared" si="25"/>
        <v>2.7452606623497022E-2</v>
      </c>
      <c r="AI30" s="27">
        <f t="shared" si="25"/>
        <v>1.1091475744733668</v>
      </c>
      <c r="AJ30" s="27">
        <f t="shared" si="25"/>
        <v>0.96146885234569601</v>
      </c>
      <c r="AK30" s="27">
        <f t="shared" si="25"/>
        <v>0.67001752503618461</v>
      </c>
      <c r="AL30" s="27">
        <f t="shared" si="25"/>
        <v>0.58104353547857224</v>
      </c>
      <c r="AM30" s="27">
        <f t="shared" si="25"/>
        <v>0.37000576472904784</v>
      </c>
      <c r="AN30" s="27">
        <f t="shared" si="25"/>
        <v>0.5636935226678722</v>
      </c>
      <c r="AO30" s="27">
        <f t="shared" si="25"/>
        <v>0</v>
      </c>
      <c r="AP30" s="27">
        <f t="shared" si="25"/>
        <v>0.20582119938681934</v>
      </c>
      <c r="AQ30" s="3">
        <f t="shared" si="14"/>
        <v>299711535.88531095</v>
      </c>
    </row>
    <row r="31" spans="1:43">
      <c r="A31">
        <v>19</v>
      </c>
      <c r="B31">
        <v>128</v>
      </c>
      <c r="C31">
        <v>1433</v>
      </c>
      <c r="D31" s="1">
        <v>9.9399999999999992E-3</v>
      </c>
      <c r="E31" s="1">
        <v>1.0319999999999999E-2</v>
      </c>
      <c r="F31">
        <f t="shared" si="16"/>
        <v>3.8000000000000013E-4</v>
      </c>
      <c r="G31" s="30">
        <f t="shared" si="17"/>
        <v>804.24771931898704</v>
      </c>
      <c r="H31" s="30">
        <f t="shared" si="18"/>
        <v>9003.8045451883463</v>
      </c>
      <c r="K31">
        <f t="shared" si="19"/>
        <v>56738513065254.883</v>
      </c>
      <c r="L31">
        <f t="shared" si="20"/>
        <v>11505831173.240818</v>
      </c>
      <c r="M31">
        <f t="shared" si="21"/>
        <v>85600049007.999283</v>
      </c>
      <c r="O31" s="30">
        <f t="shared" si="22"/>
        <v>287273676.67918909</v>
      </c>
      <c r="P31">
        <f t="shared" si="23"/>
        <v>7538940.1738862554</v>
      </c>
      <c r="Q31" s="30">
        <f t="shared" si="11"/>
        <v>12001216.211853484</v>
      </c>
      <c r="R31" s="2">
        <f t="shared" si="12"/>
        <v>4.177624748144175E-2</v>
      </c>
      <c r="S31" s="2">
        <f t="shared" si="26"/>
        <v>-1.6498153479456859</v>
      </c>
      <c r="U31" s="20">
        <v>19</v>
      </c>
      <c r="V31" s="38" t="str">
        <f t="shared" si="13"/>
        <v>0.120E+08</v>
      </c>
      <c r="W31" s="32">
        <f t="shared" si="0"/>
        <v>290795806.04843587</v>
      </c>
      <c r="X31" s="28">
        <f t="shared" si="24"/>
        <v>1.0962649664087201</v>
      </c>
      <c r="Y31" s="29">
        <f t="shared" si="24"/>
        <v>0.55174480788728053</v>
      </c>
      <c r="Z31" s="29">
        <f t="shared" si="24"/>
        <v>1.1071782410724522</v>
      </c>
      <c r="AA31" s="29">
        <f t="shared" si="24"/>
        <v>0.62066090980234356</v>
      </c>
      <c r="AB31" s="29">
        <f t="shared" si="24"/>
        <v>0.37305092388870387</v>
      </c>
      <c r="AC31" s="29">
        <f t="shared" si="24"/>
        <v>0.44979436416570423</v>
      </c>
      <c r="AD31" s="29">
        <f t="shared" si="24"/>
        <v>0.50465774849661815</v>
      </c>
      <c r="AE31" s="29">
        <f t="shared" si="24"/>
        <v>0.63470324835796332</v>
      </c>
      <c r="AF31" s="29">
        <f t="shared" si="24"/>
        <v>0.54902804936434935</v>
      </c>
      <c r="AG31" s="29">
        <f t="shared" si="24"/>
        <v>2.6051252731109514E-2</v>
      </c>
      <c r="AH31" s="29">
        <f t="shared" si="25"/>
        <v>0.2343609331801654</v>
      </c>
      <c r="AI31" s="29">
        <f t="shared" si="25"/>
        <v>0.91088520062793699</v>
      </c>
      <c r="AJ31" s="29">
        <f t="shared" si="25"/>
        <v>0.76435080521977894</v>
      </c>
      <c r="AK31" s="29">
        <f t="shared" si="25"/>
        <v>0.47052064515789027</v>
      </c>
      <c r="AL31" s="29">
        <f t="shared" si="25"/>
        <v>0.38000434278687162</v>
      </c>
      <c r="AM31" s="29">
        <f t="shared" si="25"/>
        <v>0.16722972450179049</v>
      </c>
      <c r="AN31" s="29">
        <f t="shared" si="25"/>
        <v>0.36169088900240043</v>
      </c>
      <c r="AO31" s="29">
        <f t="shared" si="25"/>
        <v>0.20582119938681934</v>
      </c>
      <c r="AP31" s="29">
        <f t="shared" si="25"/>
        <v>0</v>
      </c>
      <c r="AQ31" s="3">
        <f t="shared" si="14"/>
        <v>299711535.88531095</v>
      </c>
    </row>
    <row r="32" spans="1:43">
      <c r="A32">
        <v>20</v>
      </c>
      <c r="B32">
        <v>119</v>
      </c>
      <c r="C32">
        <v>1440</v>
      </c>
      <c r="D32" s="1">
        <v>9.9500000000000005E-3</v>
      </c>
      <c r="E32" s="1">
        <v>1.0330000000000001E-2</v>
      </c>
      <c r="F32">
        <f t="shared" si="16"/>
        <v>3.8000000000000013E-4</v>
      </c>
      <c r="G32" s="30">
        <f t="shared" si="17"/>
        <v>747.69905155437073</v>
      </c>
      <c r="H32" s="30">
        <f t="shared" si="18"/>
        <v>9047.7868423386044</v>
      </c>
      <c r="K32">
        <f t="shared" si="19"/>
        <v>58138331250513.328</v>
      </c>
      <c r="L32">
        <f t="shared" si="20"/>
        <v>11789696062.232397</v>
      </c>
      <c r="M32">
        <f t="shared" si="21"/>
        <v>87711921504.950317</v>
      </c>
      <c r="O32" s="30">
        <f t="shared" si="22"/>
        <v>290795806.04843587</v>
      </c>
      <c r="P32">
        <f t="shared" si="23"/>
        <v>7631371.6242940575</v>
      </c>
      <c r="Q32" s="30">
        <f t="shared" si="11"/>
        <v>12059494.37108784</v>
      </c>
      <c r="R32" s="2">
        <f t="shared" si="12"/>
        <v>4.1470661269025225E-2</v>
      </c>
      <c r="S32" s="2">
        <f t="shared" si="26"/>
        <v>-1.1682997861737383</v>
      </c>
      <c r="V32" s="36"/>
    </row>
    <row r="33" spans="1:19">
      <c r="R33" s="2"/>
      <c r="S33" s="2"/>
    </row>
    <row r="34" spans="1:19">
      <c r="R34" s="2"/>
      <c r="S34" s="2"/>
    </row>
    <row r="35" spans="1:19">
      <c r="R35" s="2"/>
      <c r="S35" s="2"/>
    </row>
    <row r="36" spans="1:19">
      <c r="N36" t="s">
        <v>40</v>
      </c>
      <c r="O36" t="s">
        <v>41</v>
      </c>
      <c r="P36" t="s">
        <v>61</v>
      </c>
      <c r="Q36" t="s">
        <v>55</v>
      </c>
      <c r="R36" s="2"/>
      <c r="S36" s="2"/>
    </row>
    <row r="37" spans="1:19">
      <c r="N37">
        <f>AVERAGE(O14:O32)</f>
        <v>294903753.92118365</v>
      </c>
      <c r="O37">
        <f>_xlfn.STDEV.S(O14:O32)</f>
        <v>9337749.8155722059</v>
      </c>
      <c r="P37">
        <f>O37/SQRT(COUNT(P14:P32))</f>
        <v>2142226.7266392</v>
      </c>
      <c r="Q37">
        <f>O37/N37</f>
        <v>3.166371974385862E-2</v>
      </c>
      <c r="R37" s="2"/>
      <c r="S37" s="2"/>
    </row>
    <row r="38" spans="1:19">
      <c r="A38" t="s">
        <v>44</v>
      </c>
      <c r="B38" t="s">
        <v>56</v>
      </c>
      <c r="C38" t="s">
        <v>39</v>
      </c>
      <c r="D38" t="s">
        <v>57</v>
      </c>
      <c r="R38" s="2"/>
      <c r="S38" s="2"/>
    </row>
    <row r="39" spans="1:19">
      <c r="A39">
        <f>O13</f>
        <v>323955853.57594711</v>
      </c>
      <c r="B39">
        <f>P13</f>
        <v>8501592.7227356955</v>
      </c>
      <c r="C39">
        <f>1/B39^2</f>
        <v>1.3835644941394748E-14</v>
      </c>
      <c r="D39">
        <f>C39*A39</f>
        <v>4.4821381667632703E-6</v>
      </c>
      <c r="R39" s="2"/>
      <c r="S39" s="2"/>
    </row>
    <row r="40" spans="1:19">
      <c r="A40">
        <f t="shared" ref="A40:B40" si="27">O14</f>
        <v>309870816.46394759</v>
      </c>
      <c r="B40">
        <f t="shared" si="27"/>
        <v>8131958.2565297475</v>
      </c>
      <c r="C40">
        <f t="shared" ref="C40:C58" si="28">1/B40^2</f>
        <v>1.5122016888425428E-14</v>
      </c>
      <c r="D40">
        <f t="shared" ref="D40:D58" si="29">C40*A40</f>
        <v>4.6858717197979913E-6</v>
      </c>
      <c r="R40" s="2"/>
      <c r="S40" s="2"/>
    </row>
    <row r="41" spans="1:19">
      <c r="A41">
        <f t="shared" ref="A41:B41" si="30">O15</f>
        <v>281275050.09719002</v>
      </c>
      <c r="B41">
        <f t="shared" si="30"/>
        <v>7381517.8599104546</v>
      </c>
      <c r="C41">
        <f t="shared" si="28"/>
        <v>1.8353067007422107E-14</v>
      </c>
      <c r="D41">
        <f t="shared" si="29"/>
        <v>5.1622598419497382E-6</v>
      </c>
      <c r="R41" s="2"/>
      <c r="S41" s="2"/>
    </row>
    <row r="42" spans="1:19">
      <c r="A42">
        <f t="shared" ref="A42:B42" si="31">O16</f>
        <v>309507118.32256031</v>
      </c>
      <c r="B42">
        <f t="shared" si="31"/>
        <v>8122413.7045855252</v>
      </c>
      <c r="C42">
        <f t="shared" si="28"/>
        <v>1.5157577174534979E-14</v>
      </c>
      <c r="D42">
        <f t="shared" si="29"/>
        <v>4.691378032042137E-6</v>
      </c>
      <c r="R42" s="2"/>
      <c r="S42" s="2"/>
    </row>
    <row r="43" spans="1:19">
      <c r="A43">
        <f t="shared" ref="A43:B43" si="32">O17</f>
        <v>301505759.21198887</v>
      </c>
      <c r="B43">
        <f t="shared" si="32"/>
        <v>7912433.5618112832</v>
      </c>
      <c r="C43">
        <f t="shared" si="28"/>
        <v>1.5972755623391795E-14</v>
      </c>
      <c r="D43">
        <f t="shared" si="29"/>
        <v>4.8158778109383081E-6</v>
      </c>
    </row>
    <row r="44" spans="1:19">
      <c r="A44">
        <f t="shared" ref="A44:B44" si="33">O18</f>
        <v>284411946.56667447</v>
      </c>
      <c r="B44">
        <f t="shared" si="33"/>
        <v>7463839.6204298753</v>
      </c>
      <c r="C44">
        <f t="shared" si="28"/>
        <v>1.795045255358024E-14</v>
      </c>
      <c r="D44">
        <f t="shared" si="29"/>
        <v>5.1053231525164887E-6</v>
      </c>
    </row>
    <row r="45" spans="1:19">
      <c r="A45">
        <f t="shared" ref="A45:B45" si="34">O19</f>
        <v>298429069.52942133</v>
      </c>
      <c r="B45">
        <f t="shared" si="34"/>
        <v>7831691.8115798738</v>
      </c>
      <c r="C45">
        <f t="shared" si="28"/>
        <v>1.6303799354341079E-14</v>
      </c>
      <c r="D45">
        <f t="shared" si="29"/>
        <v>4.8655276711103882E-6</v>
      </c>
    </row>
    <row r="46" spans="1:19">
      <c r="A46">
        <f t="shared" ref="A46:B46" si="35">O20</f>
        <v>282159815.76806962</v>
      </c>
      <c r="B46">
        <f t="shared" si="35"/>
        <v>7404736.8180056568</v>
      </c>
      <c r="C46">
        <f t="shared" si="28"/>
        <v>1.8238148412958816E-14</v>
      </c>
      <c r="D46">
        <f t="shared" si="29"/>
        <v>5.1460725961511707E-6</v>
      </c>
    </row>
    <row r="47" spans="1:19">
      <c r="A47">
        <f t="shared" ref="A47:B47" si="36">O21</f>
        <v>301522290.94568545</v>
      </c>
      <c r="B47">
        <f t="shared" si="36"/>
        <v>7912867.4050814006</v>
      </c>
      <c r="C47">
        <f t="shared" si="28"/>
        <v>1.5971004176739363E-14</v>
      </c>
      <c r="D47">
        <f t="shared" si="29"/>
        <v>4.8156137680735632E-6</v>
      </c>
    </row>
    <row r="48" spans="1:19">
      <c r="A48">
        <f t="shared" ref="A48:B48" si="37">O22</f>
        <v>281400525.95596993</v>
      </c>
      <c r="B48">
        <f t="shared" si="37"/>
        <v>7384810.730331243</v>
      </c>
      <c r="C48">
        <f t="shared" si="28"/>
        <v>1.8336703474236681E-14</v>
      </c>
      <c r="D48">
        <f t="shared" si="29"/>
        <v>5.1599580019488634E-6</v>
      </c>
    </row>
    <row r="49" spans="1:8">
      <c r="A49">
        <f t="shared" ref="A49:B49" si="38">O23</f>
        <v>291236072.21959162</v>
      </c>
      <c r="B49">
        <f t="shared" si="38"/>
        <v>7642925.5555950301</v>
      </c>
      <c r="C49">
        <f t="shared" si="28"/>
        <v>1.7119092599962201E-14</v>
      </c>
      <c r="D49">
        <f t="shared" si="29"/>
        <v>4.9856972887764682E-6</v>
      </c>
    </row>
    <row r="50" spans="1:8">
      <c r="A50">
        <f t="shared" ref="A50:B50" si="39">O24</f>
        <v>286801962.92437816</v>
      </c>
      <c r="B50">
        <f t="shared" si="39"/>
        <v>7526560.96177804</v>
      </c>
      <c r="C50">
        <f t="shared" si="28"/>
        <v>1.7652524903558945E-14</v>
      </c>
      <c r="D50">
        <f t="shared" si="29"/>
        <v>5.0627787929121751E-6</v>
      </c>
    </row>
    <row r="51" spans="1:8">
      <c r="A51">
        <f t="shared" ref="A51:B51" si="40">O25</f>
        <v>306254040.50235146</v>
      </c>
      <c r="B51">
        <f t="shared" si="40"/>
        <v>8037042.9899727199</v>
      </c>
      <c r="C51">
        <f t="shared" si="28"/>
        <v>1.5481299668251918E-14</v>
      </c>
      <c r="D51">
        <f t="shared" si="29"/>
        <v>4.7412105756298634E-6</v>
      </c>
    </row>
    <row r="52" spans="1:8">
      <c r="A52">
        <f t="shared" ref="A52:B52" si="41">O26</f>
        <v>303930413.48791933</v>
      </c>
      <c r="B52">
        <f t="shared" si="41"/>
        <v>7976063.9081065012</v>
      </c>
      <c r="C52">
        <f t="shared" si="28"/>
        <v>1.5718921670519798E-14</v>
      </c>
      <c r="D52">
        <f t="shared" si="29"/>
        <v>4.7774583629052977E-6</v>
      </c>
    </row>
    <row r="53" spans="1:8">
      <c r="A53">
        <f t="shared" ref="A53:B53" si="42">O27</f>
        <v>298881234.78628403</v>
      </c>
      <c r="B53">
        <f t="shared" si="42"/>
        <v>7843558.0112943854</v>
      </c>
      <c r="C53">
        <f t="shared" si="28"/>
        <v>1.6254505960461913E-14</v>
      </c>
      <c r="D53">
        <f t="shared" si="29"/>
        <v>4.8581668123038703E-6</v>
      </c>
    </row>
    <row r="54" spans="1:8">
      <c r="A54">
        <f t="shared" ref="A54:B54" si="43">O28</f>
        <v>297298656.3872658</v>
      </c>
      <c r="B54">
        <f t="shared" si="43"/>
        <v>7802026.3122936208</v>
      </c>
      <c r="C54">
        <f t="shared" si="28"/>
        <v>1.6428018329022334E-14</v>
      </c>
      <c r="D54">
        <f t="shared" si="29"/>
        <v>4.8840277763237158E-6</v>
      </c>
    </row>
    <row r="55" spans="1:8">
      <c r="A55">
        <f t="shared" ref="A55:B55" si="44">O29</f>
        <v>293657536.16094887</v>
      </c>
      <c r="B55">
        <f t="shared" si="44"/>
        <v>7706472.1777503947</v>
      </c>
      <c r="C55">
        <f t="shared" si="28"/>
        <v>1.6837932737940938E-14</v>
      </c>
      <c r="D55">
        <f t="shared" si="29"/>
        <v>4.9445858418675157E-6</v>
      </c>
    </row>
    <row r="56" spans="1:8">
      <c r="A56">
        <f t="shared" ref="A56:B56" si="45">O30</f>
        <v>296959532.4446184</v>
      </c>
      <c r="B56">
        <f t="shared" si="45"/>
        <v>7793126.6625077268</v>
      </c>
      <c r="C56">
        <f t="shared" si="28"/>
        <v>1.6465560921990418E-14</v>
      </c>
      <c r="D56">
        <f t="shared" si="29"/>
        <v>4.8896052728326548E-6</v>
      </c>
    </row>
    <row r="57" spans="1:8">
      <c r="A57">
        <f t="shared" ref="A57:B57" si="46">O31</f>
        <v>287273676.67918909</v>
      </c>
      <c r="B57">
        <f t="shared" si="46"/>
        <v>7538940.1738862554</v>
      </c>
      <c r="C57">
        <f t="shared" si="28"/>
        <v>1.7594600332584211E-14</v>
      </c>
      <c r="D57">
        <f t="shared" si="29"/>
        <v>5.0544655272423493E-6</v>
      </c>
    </row>
    <row r="58" spans="1:8">
      <c r="A58">
        <f t="shared" ref="A58:B58" si="47">O32</f>
        <v>290795806.04843587</v>
      </c>
      <c r="B58">
        <f t="shared" si="47"/>
        <v>7631371.6242940575</v>
      </c>
      <c r="C58">
        <f t="shared" si="28"/>
        <v>1.7170968608416202E-14</v>
      </c>
      <c r="D58">
        <f t="shared" si="29"/>
        <v>4.9932456571167786E-6</v>
      </c>
    </row>
    <row r="59" spans="1:8">
      <c r="C59">
        <f>SUM(C39:C58)</f>
        <v>3.3196459533973416E-13</v>
      </c>
      <c r="D59">
        <f>SUM(D39:D58)</f>
        <v>9.812126266920261E-5</v>
      </c>
    </row>
    <row r="62" spans="1:8">
      <c r="B62" t="s">
        <v>58</v>
      </c>
      <c r="C62" t="s">
        <v>59</v>
      </c>
      <c r="D62" t="s">
        <v>74</v>
      </c>
      <c r="E62" t="s">
        <v>60</v>
      </c>
      <c r="F62" t="s">
        <v>75</v>
      </c>
      <c r="G62" t="s">
        <v>62</v>
      </c>
      <c r="H62" t="s">
        <v>65</v>
      </c>
    </row>
    <row r="63" spans="1:8">
      <c r="B63">
        <f>D59/C59</f>
        <v>295577492.43947184</v>
      </c>
      <c r="C63">
        <f>SQRT(1/C59)</f>
        <v>1735617.8823355951</v>
      </c>
      <c r="D63">
        <f>C63/B63</f>
        <v>5.871955499761247E-3</v>
      </c>
      <c r="E63">
        <f>P37</f>
        <v>2142226.7266392</v>
      </c>
      <c r="F63">
        <f>E63/B63</f>
        <v>7.2475976061603664E-3</v>
      </c>
      <c r="G63">
        <f>SQRT(C63^2+E63^2)</f>
        <v>2757082.6577762221</v>
      </c>
      <c r="H63">
        <f>G63/B63</f>
        <v>9.3277828261595919E-3</v>
      </c>
    </row>
    <row r="65" spans="2:2">
      <c r="B65" t="s">
        <v>36</v>
      </c>
    </row>
    <row r="66" spans="2:2">
      <c r="B66">
        <f>(B63-B10)/G63</f>
        <v>-1.4994267343342906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topLeftCell="M9" zoomScale="70" zoomScaleNormal="70" workbookViewId="0">
      <selection activeCell="AN45" sqref="V27:AN45"/>
    </sheetView>
  </sheetViews>
  <sheetFormatPr defaultRowHeight="15"/>
  <cols>
    <col min="1" max="1" width="14.5703125" customWidth="1"/>
    <col min="2" max="2" width="16.5703125" customWidth="1"/>
    <col min="3" max="3" width="13.7109375" customWidth="1"/>
    <col min="4" max="5" width="13.5703125" customWidth="1"/>
    <col min="6" max="8" width="9.140625" customWidth="1"/>
    <col min="9" max="9" width="11.42578125" customWidth="1"/>
    <col min="11" max="12" width="11.85546875" customWidth="1"/>
    <col min="13" max="13" width="14.42578125" bestFit="1" customWidth="1"/>
    <col min="14" max="14" width="9" customWidth="1"/>
    <col min="15" max="15" width="12.28515625" customWidth="1"/>
    <col min="16" max="16" width="15.5703125" bestFit="1" customWidth="1"/>
    <col min="17" max="17" width="15.85546875" customWidth="1"/>
    <col min="18" max="18" width="15.5703125" customWidth="1"/>
    <col min="20" max="21" width="9.28515625" customWidth="1"/>
    <col min="22" max="24" width="11.85546875" customWidth="1"/>
    <col min="25" max="25" width="12" customWidth="1"/>
    <col min="26" max="26" width="11.85546875" customWidth="1"/>
    <col min="27" max="27" width="9.85546875" customWidth="1"/>
    <col min="28" max="30" width="11.85546875" customWidth="1"/>
    <col min="31" max="44" width="9.140625" customWidth="1"/>
  </cols>
  <sheetData>
    <row r="1" spans="1:34">
      <c r="A1" t="s">
        <v>0</v>
      </c>
      <c r="C1" t="s">
        <v>17</v>
      </c>
      <c r="E1" t="s">
        <v>38</v>
      </c>
    </row>
    <row r="2" spans="1:34">
      <c r="A2" t="s">
        <v>1</v>
      </c>
      <c r="B2" s="1">
        <f>Sheet1!B8</f>
        <v>0.252</v>
      </c>
      <c r="C2" s="1">
        <f>Sheet1!C8</f>
        <v>2.52E-4</v>
      </c>
      <c r="E2" s="1"/>
    </row>
    <row r="3" spans="1:34">
      <c r="A3" t="s">
        <v>2</v>
      </c>
      <c r="B3" s="1">
        <f>Sheet1!B6</f>
        <v>13.43</v>
      </c>
      <c r="C3" s="1">
        <f>Sheet1!C6</f>
        <v>0.34641016151377546</v>
      </c>
      <c r="E3" s="1"/>
    </row>
    <row r="4" spans="1:34">
      <c r="A4" t="s">
        <v>3</v>
      </c>
      <c r="B4" s="1">
        <f>Sheet1!B7</f>
        <v>0.47799999999999998</v>
      </c>
      <c r="C4" s="1">
        <f>Sheet1!C7</f>
        <v>5.0990195135927853E-3</v>
      </c>
      <c r="E4" s="1"/>
    </row>
    <row r="5" spans="1:34">
      <c r="A5" t="s">
        <v>4</v>
      </c>
      <c r="B5" s="1">
        <f>B4+B3</f>
        <v>13.907999999999999</v>
      </c>
      <c r="C5">
        <f>SQRT(C4^2+C3^2)</f>
        <v>0.34644768724873887</v>
      </c>
    </row>
    <row r="6" spans="1:34">
      <c r="A6" t="s">
        <v>5</v>
      </c>
      <c r="B6" s="1">
        <f>B3^2</f>
        <v>180.36490000000001</v>
      </c>
      <c r="C6" s="1">
        <f>2*B3*C3</f>
        <v>9.3045769382600092</v>
      </c>
    </row>
    <row r="7" spans="1:34">
      <c r="A7" t="s">
        <v>10</v>
      </c>
      <c r="B7">
        <v>0</v>
      </c>
    </row>
    <row r="8" spans="1:34">
      <c r="A8" t="s">
        <v>11</v>
      </c>
      <c r="B8">
        <v>0</v>
      </c>
    </row>
    <row r="9" spans="1:34">
      <c r="A9" t="s">
        <v>12</v>
      </c>
      <c r="B9" s="1">
        <f>0.00001*SQRT(2)</f>
        <v>1.4142135623730953E-5</v>
      </c>
      <c r="C9" s="1"/>
      <c r="E9" s="1"/>
    </row>
    <row r="10" spans="1:34" ht="15.75" thickBot="1">
      <c r="A10" t="s">
        <v>0</v>
      </c>
      <c r="B10">
        <f>299792458/1.00027</f>
        <v>299711535.88531095</v>
      </c>
      <c r="V10" s="19"/>
      <c r="W10" s="9" t="s">
        <v>20</v>
      </c>
      <c r="X10" s="9">
        <f t="array" ref="X10:AG12">TRANSPOSE(U13:W22)</f>
        <v>1</v>
      </c>
      <c r="Y10" s="9">
        <v>2</v>
      </c>
      <c r="Z10" s="9">
        <v>3</v>
      </c>
      <c r="AA10" s="9">
        <v>4</v>
      </c>
      <c r="AB10" s="9">
        <v>5</v>
      </c>
      <c r="AC10" s="9">
        <v>6</v>
      </c>
      <c r="AD10" s="9">
        <v>7</v>
      </c>
      <c r="AE10" s="9">
        <v>8</v>
      </c>
      <c r="AF10" s="9">
        <v>9</v>
      </c>
      <c r="AG10" s="9">
        <v>10</v>
      </c>
    </row>
    <row r="11" spans="1:34">
      <c r="I11" t="s">
        <v>14</v>
      </c>
      <c r="U11" s="7"/>
      <c r="V11" s="11" t="s">
        <v>18</v>
      </c>
      <c r="W11" s="12"/>
      <c r="X11" s="12">
        <v>15812300.704236746</v>
      </c>
      <c r="Y11" s="12">
        <v>15400431.86508647</v>
      </c>
      <c r="Z11" s="12">
        <v>15735194.655382873</v>
      </c>
      <c r="AA11" s="12">
        <v>15395737.343706436</v>
      </c>
      <c r="AB11" s="12">
        <v>15413223.631328139</v>
      </c>
      <c r="AC11" s="12">
        <v>15760421.206456292</v>
      </c>
      <c r="AD11" s="12">
        <v>15749375.530169958</v>
      </c>
      <c r="AE11" s="12">
        <v>15601041.522445589</v>
      </c>
      <c r="AF11" s="12">
        <v>15876037.546300896</v>
      </c>
      <c r="AG11" s="12">
        <v>15665562.061049121</v>
      </c>
    </row>
    <row r="12" spans="1:34" ht="15.75" thickBot="1">
      <c r="B12" t="s">
        <v>6</v>
      </c>
      <c r="C12" t="s">
        <v>7</v>
      </c>
      <c r="D12" t="s">
        <v>31</v>
      </c>
      <c r="E12" t="s">
        <v>32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42</v>
      </c>
      <c r="Q12" t="s">
        <v>43</v>
      </c>
      <c r="R12" t="s">
        <v>35</v>
      </c>
      <c r="S12" t="s">
        <v>36</v>
      </c>
      <c r="U12" s="8" t="s">
        <v>20</v>
      </c>
      <c r="V12" s="10"/>
      <c r="W12" s="4" t="s">
        <v>19</v>
      </c>
      <c r="X12" s="14">
        <v>319465519.81298906</v>
      </c>
      <c r="Y12" s="14">
        <v>288776324.26335239</v>
      </c>
      <c r="Z12" s="14">
        <v>313888814.97834831</v>
      </c>
      <c r="AA12" s="14">
        <v>288412626.12196279</v>
      </c>
      <c r="AB12" s="14">
        <v>289765583.20793098</v>
      </c>
      <c r="AC12" s="14">
        <v>315721160.85258794</v>
      </c>
      <c r="AD12" s="14">
        <v>314919802.42676944</v>
      </c>
      <c r="AE12" s="14">
        <v>304010080.69984245</v>
      </c>
      <c r="AF12" s="14">
        <v>324022952.9656682</v>
      </c>
      <c r="AG12" s="14">
        <v>308790113.41524875</v>
      </c>
      <c r="AH12" t="s">
        <v>44</v>
      </c>
    </row>
    <row r="13" spans="1:34" ht="15.75" thickTop="1">
      <c r="A13">
        <v>1</v>
      </c>
      <c r="B13">
        <v>118</v>
      </c>
      <c r="C13">
        <v>920</v>
      </c>
      <c r="D13" s="1">
        <v>9.8700000000000003E-3</v>
      </c>
      <c r="E13" s="1">
        <v>9.6600000000000002E-3</v>
      </c>
      <c r="F13">
        <f>ABS(E13-D13)</f>
        <v>2.1000000000000012E-4</v>
      </c>
      <c r="G13">
        <f>2*PI()*B13</f>
        <v>741.41586624719116</v>
      </c>
      <c r="H13">
        <f>2*PI()*C13</f>
        <v>5780.5304826052197</v>
      </c>
      <c r="K13">
        <f>((4*$B$3*(2*$B$4+$B$3-2*$B$2)*$B$2*(H13-G13))/(($B$5-$B$2)^2*F13)*$C$3)^2</f>
        <v>70167219490767.211</v>
      </c>
      <c r="L13">
        <f>((4*$B$6*$B$2*(G13-H13)/(($B$5-$B$2)^2*F13))*$C$4)^2</f>
        <v>14228997866.545929</v>
      </c>
      <c r="M13">
        <f>((4*$B$6*$B$5*(H13-G13)/(($B$5-$B$2)^2*F13))*$C$2)^2</f>
        <v>105859619906.79694</v>
      </c>
      <c r="O13">
        <f>4*$B$2*$B$6*ABS(H13-G13)/(($B$5-$B$2)*F13)</f>
        <v>319465519.81298906</v>
      </c>
      <c r="P13">
        <f>SQRT(K13+L13+M13)</f>
        <v>8383752.6268694587</v>
      </c>
      <c r="Q13">
        <f>SQRT(P13^2+$N$26^2)</f>
        <v>15812300.704236746</v>
      </c>
      <c r="R13" s="2">
        <f>Q13/O13</f>
        <v>4.9496110608409506E-2</v>
      </c>
      <c r="S13" s="2">
        <f>(O13-$B$10)/Q13</f>
        <v>1.2492795512284451</v>
      </c>
      <c r="U13" s="8">
        <v>1</v>
      </c>
      <c r="V13" s="10">
        <f>Q13</f>
        <v>15812300.704236746</v>
      </c>
      <c r="W13" s="18">
        <f t="shared" ref="W13:W22" si="0">O13</f>
        <v>319465519.81298906</v>
      </c>
      <c r="X13" s="15">
        <f t="shared" ref="X13:AG22" si="1">ABS(($W13-X$12)/SQRT($V13^2+X$11^2))</f>
        <v>0</v>
      </c>
      <c r="Y13" s="13">
        <f t="shared" si="1"/>
        <v>1.3903716508926556</v>
      </c>
      <c r="Z13" s="13">
        <f t="shared" si="1"/>
        <v>0.24999220902505481</v>
      </c>
      <c r="AA13" s="13">
        <f t="shared" si="1"/>
        <v>1.4070577492552074</v>
      </c>
      <c r="AB13" s="13">
        <f t="shared" si="1"/>
        <v>1.3450093839130199</v>
      </c>
      <c r="AC13" s="13">
        <f t="shared" si="1"/>
        <v>0.16771807291236632</v>
      </c>
      <c r="AD13" s="13">
        <f t="shared" si="1"/>
        <v>0.20368380798202035</v>
      </c>
      <c r="AE13" s="13">
        <f t="shared" si="1"/>
        <v>0.69578070329490338</v>
      </c>
      <c r="AF13" s="13">
        <f t="shared" si="1"/>
        <v>0.20339251259929095</v>
      </c>
      <c r="AG13" s="13">
        <f t="shared" si="1"/>
        <v>0.47961135695459434</v>
      </c>
      <c r="AH13">
        <f>$B$10</f>
        <v>299711535.88531095</v>
      </c>
    </row>
    <row r="14" spans="1:34">
      <c r="A14">
        <v>2</v>
      </c>
      <c r="B14">
        <v>114</v>
      </c>
      <c r="C14">
        <v>908</v>
      </c>
      <c r="D14" s="1">
        <v>9.8799999999999999E-3</v>
      </c>
      <c r="E14" s="1">
        <v>9.6500000000000006E-3</v>
      </c>
      <c r="F14">
        <f t="shared" ref="F14:F22" si="2">ABS(E14-D14)</f>
        <v>2.299999999999993E-4</v>
      </c>
      <c r="G14">
        <f t="shared" ref="G14:H22" si="3">2*PI()*B14</f>
        <v>716.28312501847279</v>
      </c>
      <c r="H14">
        <f t="shared" si="3"/>
        <v>5705.132258919064</v>
      </c>
      <c r="K14">
        <f t="shared" ref="K14:K22" si="4">((4*$B$3*(2*$B$4+$B$3-2*$B$2)*$B$2*(H14-G14))/(($B$5-$B$2)^2*F14)*$C$3)^2</f>
        <v>57333631774521.648</v>
      </c>
      <c r="L14">
        <f t="shared" ref="L14:L22" si="5">((4*$B$6*$B$2*(G14-H14)/(($B$5-$B$2)^2*F14))*$C$4)^2</f>
        <v>11626513493.360579</v>
      </c>
      <c r="M14">
        <f t="shared" ref="M14:M22" si="6">((4*$B$6*$B$5*(H14-G14)/(($B$5-$B$2)^2*F14))*$C$2)^2</f>
        <v>86497890490.383942</v>
      </c>
      <c r="O14">
        <f t="shared" ref="O14:O22" si="7">4*$B$2*$B$6*ABS(H14-G14)/(($B$5-$B$2)*F14)</f>
        <v>288776324.26335239</v>
      </c>
      <c r="P14">
        <f t="shared" ref="P14:P22" si="8">SQRT(K14+L14+M14)</f>
        <v>7578374.2437613485</v>
      </c>
      <c r="Q14">
        <f t="shared" ref="Q14:Q22" si="9">SQRT(P14^2+$N$26^2)</f>
        <v>15400431.86508647</v>
      </c>
      <c r="R14" s="2">
        <f t="shared" ref="R14:R22" si="10">Q14/O14</f>
        <v>5.3329967075285215E-2</v>
      </c>
      <c r="S14" s="2">
        <f t="shared" ref="S14:S22" si="11">(O14-$B$10)/Q14</f>
        <v>-0.71005876443953575</v>
      </c>
      <c r="U14" s="8">
        <v>2</v>
      </c>
      <c r="V14" s="10">
        <f t="shared" ref="V14:V22" si="12">Q14</f>
        <v>15400431.86508647</v>
      </c>
      <c r="W14" s="18">
        <f t="shared" si="0"/>
        <v>288776324.26335239</v>
      </c>
      <c r="X14" s="16">
        <f t="shared" si="1"/>
        <v>1.3903716508926556</v>
      </c>
      <c r="Y14" s="5">
        <f t="shared" si="1"/>
        <v>0</v>
      </c>
      <c r="Z14" s="5">
        <f t="shared" si="1"/>
        <v>1.1405703485295331</v>
      </c>
      <c r="AA14" s="5">
        <f t="shared" si="1"/>
        <v>1.6701649958467901E-2</v>
      </c>
      <c r="AB14" s="5">
        <f t="shared" si="1"/>
        <v>4.5402704516316832E-2</v>
      </c>
      <c r="AC14" s="5">
        <f t="shared" si="1"/>
        <v>1.2227910017411601</v>
      </c>
      <c r="AD14" s="5">
        <f t="shared" si="1"/>
        <v>1.1868497723800395</v>
      </c>
      <c r="AE14" s="5">
        <f t="shared" si="1"/>
        <v>0.69491322708011349</v>
      </c>
      <c r="AF14" s="5">
        <f t="shared" si="1"/>
        <v>1.5935461741360424</v>
      </c>
      <c r="AG14" s="5">
        <f t="shared" si="1"/>
        <v>0.91105217511024028</v>
      </c>
      <c r="AH14">
        <f t="shared" ref="AH14:AH22" si="13">$B$10</f>
        <v>299711535.88531095</v>
      </c>
    </row>
    <row r="15" spans="1:34">
      <c r="A15">
        <v>3</v>
      </c>
      <c r="B15">
        <v>127</v>
      </c>
      <c r="C15">
        <v>915</v>
      </c>
      <c r="D15" s="1">
        <v>9.8600000000000007E-3</v>
      </c>
      <c r="E15" s="1">
        <v>9.6500000000000006E-3</v>
      </c>
      <c r="F15">
        <f t="shared" si="2"/>
        <v>2.1000000000000012E-4</v>
      </c>
      <c r="G15">
        <f t="shared" si="3"/>
        <v>797.96453401180747</v>
      </c>
      <c r="H15">
        <f t="shared" si="3"/>
        <v>5749.1145560693212</v>
      </c>
      <c r="K15">
        <f t="shared" si="4"/>
        <v>67738872798482.188</v>
      </c>
      <c r="L15">
        <f t="shared" si="5"/>
        <v>13736560797.576649</v>
      </c>
      <c r="M15">
        <f t="shared" si="6"/>
        <v>102196030844.65598</v>
      </c>
      <c r="O15">
        <f t="shared" si="7"/>
        <v>313888814.97834831</v>
      </c>
      <c r="P15">
        <f t="shared" si="8"/>
        <v>8237402.8303904394</v>
      </c>
      <c r="Q15">
        <f t="shared" si="9"/>
        <v>15735194.655382873</v>
      </c>
      <c r="R15" s="2">
        <f t="shared" si="10"/>
        <v>5.0129835484798234E-2</v>
      </c>
      <c r="S15" s="2">
        <f t="shared" si="11"/>
        <v>0.90099165619075727</v>
      </c>
      <c r="U15" s="8">
        <v>3</v>
      </c>
      <c r="V15" s="10">
        <f t="shared" si="12"/>
        <v>15735194.655382873</v>
      </c>
      <c r="W15" s="18">
        <f t="shared" si="0"/>
        <v>313888814.97834831</v>
      </c>
      <c r="X15" s="17">
        <f t="shared" si="1"/>
        <v>0.24999220902505481</v>
      </c>
      <c r="Y15" s="6">
        <f t="shared" si="1"/>
        <v>1.1405703485295331</v>
      </c>
      <c r="Z15" s="6">
        <f t="shared" si="1"/>
        <v>0</v>
      </c>
      <c r="AA15" s="6">
        <f t="shared" si="1"/>
        <v>1.1572615320014519</v>
      </c>
      <c r="AB15" s="6">
        <f t="shared" si="1"/>
        <v>1.0951945877002789</v>
      </c>
      <c r="AC15" s="6">
        <f t="shared" si="1"/>
        <v>8.2275817893862749E-2</v>
      </c>
      <c r="AD15" s="6">
        <f t="shared" si="1"/>
        <v>4.6309550224357614E-2</v>
      </c>
      <c r="AE15" s="6">
        <f t="shared" si="1"/>
        <v>0.44582610028117475</v>
      </c>
      <c r="AF15" s="6">
        <f t="shared" si="1"/>
        <v>0.45337344154007803</v>
      </c>
      <c r="AG15" s="6">
        <f t="shared" si="1"/>
        <v>0.2296325288270798</v>
      </c>
      <c r="AH15">
        <f t="shared" si="13"/>
        <v>299711535.88531095</v>
      </c>
    </row>
    <row r="16" spans="1:34">
      <c r="A16">
        <v>4</v>
      </c>
      <c r="B16">
        <v>115</v>
      </c>
      <c r="C16">
        <v>908</v>
      </c>
      <c r="D16" s="1">
        <v>9.8799999999999999E-3</v>
      </c>
      <c r="E16" s="1">
        <v>9.6500000000000006E-3</v>
      </c>
      <c r="F16">
        <f t="shared" si="2"/>
        <v>2.299999999999993E-4</v>
      </c>
      <c r="G16">
        <f t="shared" si="3"/>
        <v>722.56631032565247</v>
      </c>
      <c r="H16">
        <f t="shared" si="3"/>
        <v>5705.132258919064</v>
      </c>
      <c r="K16">
        <f t="shared" si="4"/>
        <v>57189305508848.102</v>
      </c>
      <c r="L16">
        <f t="shared" si="5"/>
        <v>11597246007.185991</v>
      </c>
      <c r="M16">
        <f t="shared" si="6"/>
        <v>86280148876.313354</v>
      </c>
      <c r="O16">
        <f t="shared" si="7"/>
        <v>288412626.12196279</v>
      </c>
      <c r="P16">
        <f t="shared" si="8"/>
        <v>7568829.6918170648</v>
      </c>
      <c r="Q16">
        <f>SQRT(P16^2+$N$26^2)</f>
        <v>15395737.343706436</v>
      </c>
      <c r="R16" s="2">
        <f t="shared" si="10"/>
        <v>5.3380940878767033E-2</v>
      </c>
      <c r="S16" s="2">
        <f t="shared" si="11"/>
        <v>-0.73389857926921565</v>
      </c>
      <c r="U16" s="8">
        <v>4</v>
      </c>
      <c r="V16" s="10">
        <f t="shared" si="12"/>
        <v>15395737.343706436</v>
      </c>
      <c r="W16" s="18">
        <f t="shared" si="0"/>
        <v>288412626.12196279</v>
      </c>
      <c r="X16" s="16">
        <f t="shared" si="1"/>
        <v>1.4070577492552074</v>
      </c>
      <c r="Y16" s="5">
        <f t="shared" si="1"/>
        <v>1.6701649958467901E-2</v>
      </c>
      <c r="Z16" s="5">
        <f t="shared" si="1"/>
        <v>1.1572615320014519</v>
      </c>
      <c r="AA16" s="5">
        <f t="shared" si="1"/>
        <v>0</v>
      </c>
      <c r="AB16" s="5">
        <f t="shared" si="1"/>
        <v>6.2104332361337757E-2</v>
      </c>
      <c r="AC16" s="5">
        <f t="shared" si="1"/>
        <v>1.2394806236082745</v>
      </c>
      <c r="AD16" s="5">
        <f t="shared" si="1"/>
        <v>1.2035400903830378</v>
      </c>
      <c r="AE16" s="5">
        <f t="shared" si="1"/>
        <v>0.71161097333239509</v>
      </c>
      <c r="AF16" s="5">
        <f t="shared" si="1"/>
        <v>1.610227384892035</v>
      </c>
      <c r="AG16" s="5">
        <f t="shared" si="1"/>
        <v>0.92774713823361188</v>
      </c>
      <c r="AH16">
        <f t="shared" si="13"/>
        <v>299711535.88531095</v>
      </c>
    </row>
    <row r="17" spans="1:41">
      <c r="A17">
        <v>5</v>
      </c>
      <c r="B17">
        <v>97</v>
      </c>
      <c r="C17">
        <v>963</v>
      </c>
      <c r="D17" s="1">
        <v>9.8700000000000003E-3</v>
      </c>
      <c r="E17" s="1">
        <v>9.6200000000000001E-3</v>
      </c>
      <c r="F17">
        <f t="shared" si="2"/>
        <v>2.5000000000000022E-4</v>
      </c>
      <c r="G17">
        <f t="shared" si="3"/>
        <v>609.46897479641984</v>
      </c>
      <c r="H17">
        <f t="shared" si="3"/>
        <v>6050.7074508139413</v>
      </c>
      <c r="K17">
        <f t="shared" si="4"/>
        <v>57727119413049</v>
      </c>
      <c r="L17">
        <f t="shared" si="5"/>
        <v>11706307659.493303</v>
      </c>
      <c r="M17">
        <f t="shared" si="6"/>
        <v>87091535958.379288</v>
      </c>
      <c r="O17">
        <f t="shared" si="7"/>
        <v>289765583.20793098</v>
      </c>
      <c r="P17">
        <f t="shared" si="8"/>
        <v>7604335.4250497706</v>
      </c>
      <c r="Q17">
        <f t="shared" si="9"/>
        <v>15413223.631328139</v>
      </c>
      <c r="R17" s="2">
        <f t="shared" si="10"/>
        <v>5.3192043929757751E-2</v>
      </c>
      <c r="S17" s="2">
        <f t="shared" si="11"/>
        <v>-0.64528698961872744</v>
      </c>
      <c r="U17" s="8">
        <v>5</v>
      </c>
      <c r="V17" s="10">
        <f t="shared" si="12"/>
        <v>15413223.631328139</v>
      </c>
      <c r="W17" s="18">
        <f t="shared" si="0"/>
        <v>289765583.20793098</v>
      </c>
      <c r="X17" s="17">
        <f t="shared" si="1"/>
        <v>1.3450093839130199</v>
      </c>
      <c r="Y17" s="6">
        <f t="shared" si="1"/>
        <v>4.5402704516316832E-2</v>
      </c>
      <c r="Z17" s="6">
        <f t="shared" si="1"/>
        <v>1.0951945877002789</v>
      </c>
      <c r="AA17" s="6">
        <f t="shared" si="1"/>
        <v>6.2104332361337757E-2</v>
      </c>
      <c r="AB17" s="6">
        <f t="shared" si="1"/>
        <v>0</v>
      </c>
      <c r="AC17" s="6">
        <f t="shared" si="1"/>
        <v>1.1774193774739967</v>
      </c>
      <c r="AD17" s="6">
        <f t="shared" si="1"/>
        <v>1.1414763031623132</v>
      </c>
      <c r="AE17" s="6">
        <f t="shared" si="1"/>
        <v>0.64952021478800914</v>
      </c>
      <c r="AF17" s="6">
        <f t="shared" si="1"/>
        <v>1.5481969259653452</v>
      </c>
      <c r="AG17" s="6">
        <f t="shared" si="1"/>
        <v>0.86566644278418803</v>
      </c>
      <c r="AH17">
        <f t="shared" si="13"/>
        <v>299711535.88531095</v>
      </c>
    </row>
    <row r="18" spans="1:41">
      <c r="A18">
        <v>6</v>
      </c>
      <c r="B18">
        <v>79</v>
      </c>
      <c r="C18">
        <v>1400</v>
      </c>
      <c r="D18" s="1">
        <v>9.8799999999999999E-3</v>
      </c>
      <c r="E18" s="1">
        <v>9.5300000000000003E-3</v>
      </c>
      <c r="F18">
        <f t="shared" si="2"/>
        <v>3.4999999999999962E-4</v>
      </c>
      <c r="G18">
        <f t="shared" si="3"/>
        <v>496.37163926718733</v>
      </c>
      <c r="H18">
        <f t="shared" si="3"/>
        <v>8796.45943005142</v>
      </c>
      <c r="K18">
        <f t="shared" si="4"/>
        <v>68532041082237.961</v>
      </c>
      <c r="L18">
        <f t="shared" si="5"/>
        <v>13897404990.909088</v>
      </c>
      <c r="M18">
        <f t="shared" si="6"/>
        <v>103392665022.97847</v>
      </c>
      <c r="O18">
        <f t="shared" si="7"/>
        <v>315721160.85258794</v>
      </c>
      <c r="P18">
        <f t="shared" si="8"/>
        <v>8285489.1920907022</v>
      </c>
      <c r="Q18">
        <f t="shared" si="9"/>
        <v>15760421.206456292</v>
      </c>
      <c r="R18" s="2">
        <f t="shared" si="10"/>
        <v>4.9918799119755317E-2</v>
      </c>
      <c r="S18" s="2">
        <f t="shared" si="11"/>
        <v>1.0158119987756806</v>
      </c>
      <c r="U18" s="8">
        <v>6</v>
      </c>
      <c r="V18" s="10">
        <f t="shared" si="12"/>
        <v>15760421.206456292</v>
      </c>
      <c r="W18" s="18">
        <f t="shared" si="0"/>
        <v>315721160.85258794</v>
      </c>
      <c r="X18" s="16">
        <f t="shared" si="1"/>
        <v>0.16771807291236632</v>
      </c>
      <c r="Y18" s="5">
        <f t="shared" si="1"/>
        <v>1.2227910017411601</v>
      </c>
      <c r="Z18" s="5">
        <f t="shared" si="1"/>
        <v>8.2275817893862749E-2</v>
      </c>
      <c r="AA18" s="5">
        <f t="shared" si="1"/>
        <v>1.2394806236082745</v>
      </c>
      <c r="AB18" s="5">
        <f t="shared" si="1"/>
        <v>1.1774193774739967</v>
      </c>
      <c r="AC18" s="5">
        <f t="shared" si="1"/>
        <v>0</v>
      </c>
      <c r="AD18" s="5">
        <f t="shared" si="1"/>
        <v>3.5966334342162183E-2</v>
      </c>
      <c r="AE18" s="5">
        <f t="shared" si="1"/>
        <v>0.52809254009308004</v>
      </c>
      <c r="AF18" s="5">
        <f t="shared" si="1"/>
        <v>0.37110438593102213</v>
      </c>
      <c r="AG18" s="5">
        <f t="shared" si="1"/>
        <v>0.31190548756346742</v>
      </c>
      <c r="AH18">
        <f t="shared" si="13"/>
        <v>299711535.88531095</v>
      </c>
    </row>
    <row r="19" spans="1:41">
      <c r="A19">
        <v>7</v>
      </c>
      <c r="B19">
        <v>115</v>
      </c>
      <c r="C19">
        <v>1395</v>
      </c>
      <c r="D19" s="1">
        <v>9.8799999999999999E-3</v>
      </c>
      <c r="E19" s="1">
        <v>9.5399999999999999E-3</v>
      </c>
      <c r="F19">
        <f t="shared" si="2"/>
        <v>3.4000000000000002E-4</v>
      </c>
      <c r="G19">
        <f t="shared" si="3"/>
        <v>722.56631032565247</v>
      </c>
      <c r="H19">
        <f t="shared" si="3"/>
        <v>8765.0435035155224</v>
      </c>
      <c r="K19">
        <f t="shared" si="4"/>
        <v>68184588719588.125</v>
      </c>
      <c r="L19">
        <f t="shared" si="5"/>
        <v>13826946178.906126</v>
      </c>
      <c r="M19">
        <f t="shared" si="6"/>
        <v>102868471883.89215</v>
      </c>
      <c r="O19">
        <f t="shared" si="7"/>
        <v>314919802.42676944</v>
      </c>
      <c r="P19">
        <f t="shared" si="8"/>
        <v>8264459.0952857239</v>
      </c>
      <c r="Q19">
        <f t="shared" si="9"/>
        <v>15749375.530169958</v>
      </c>
      <c r="R19" s="2">
        <f t="shared" si="10"/>
        <v>5.0010750066542015E-2</v>
      </c>
      <c r="S19" s="2">
        <f t="shared" si="11"/>
        <v>0.96564251149673164</v>
      </c>
      <c r="U19" s="8">
        <v>7</v>
      </c>
      <c r="V19" s="10">
        <f t="shared" si="12"/>
        <v>15749375.530169958</v>
      </c>
      <c r="W19" s="18">
        <f t="shared" si="0"/>
        <v>314919802.42676944</v>
      </c>
      <c r="X19" s="17">
        <f t="shared" si="1"/>
        <v>0.20368380798202035</v>
      </c>
      <c r="Y19" s="6">
        <f t="shared" si="1"/>
        <v>1.1868497723800395</v>
      </c>
      <c r="Z19" s="6">
        <f t="shared" si="1"/>
        <v>4.6309550224357614E-2</v>
      </c>
      <c r="AA19" s="6">
        <f t="shared" si="1"/>
        <v>1.2035400903830378</v>
      </c>
      <c r="AB19" s="6">
        <f t="shared" si="1"/>
        <v>1.1414763031623132</v>
      </c>
      <c r="AC19" s="6">
        <f t="shared" si="1"/>
        <v>3.5966334342162183E-2</v>
      </c>
      <c r="AD19" s="6">
        <f t="shared" si="1"/>
        <v>0</v>
      </c>
      <c r="AE19" s="6">
        <f t="shared" si="1"/>
        <v>0.49213073320471312</v>
      </c>
      <c r="AF19" s="6">
        <f t="shared" si="1"/>
        <v>0.4070680648778468</v>
      </c>
      <c r="AG19" s="6">
        <f t="shared" si="1"/>
        <v>0.27594065582800292</v>
      </c>
      <c r="AH19">
        <f t="shared" si="13"/>
        <v>299711535.88531095</v>
      </c>
    </row>
    <row r="20" spans="1:41">
      <c r="A20">
        <v>8</v>
      </c>
      <c r="B20">
        <v>113</v>
      </c>
      <c r="C20">
        <v>1385</v>
      </c>
      <c r="D20" s="1">
        <v>9.8899999999999995E-3</v>
      </c>
      <c r="E20" s="1">
        <v>9.5399999999999999E-3</v>
      </c>
      <c r="F20">
        <f t="shared" si="2"/>
        <v>3.4999999999999962E-4</v>
      </c>
      <c r="G20">
        <f t="shared" si="3"/>
        <v>709.99993971129322</v>
      </c>
      <c r="H20">
        <f t="shared" si="3"/>
        <v>8702.2116504437272</v>
      </c>
      <c r="K20">
        <f t="shared" si="4"/>
        <v>63542200990351.328</v>
      </c>
      <c r="L20">
        <f t="shared" si="5"/>
        <v>12885530435.566299</v>
      </c>
      <c r="M20">
        <f t="shared" si="6"/>
        <v>95864611619.176208</v>
      </c>
      <c r="O20">
        <f t="shared" si="7"/>
        <v>304010080.69984245</v>
      </c>
      <c r="P20">
        <f t="shared" si="8"/>
        <v>7978154.6194847636</v>
      </c>
      <c r="Q20">
        <f t="shared" si="9"/>
        <v>15601041.522445589</v>
      </c>
      <c r="R20" s="2">
        <f t="shared" si="10"/>
        <v>5.1317513835499845E-2</v>
      </c>
      <c r="S20" s="2">
        <f t="shared" si="11"/>
        <v>0.27552934900833936</v>
      </c>
      <c r="U20" s="8">
        <v>8</v>
      </c>
      <c r="V20" s="10">
        <f t="shared" si="12"/>
        <v>15601041.522445589</v>
      </c>
      <c r="W20" s="18">
        <f t="shared" si="0"/>
        <v>304010080.69984245</v>
      </c>
      <c r="X20" s="16">
        <f t="shared" si="1"/>
        <v>0.69578070329490338</v>
      </c>
      <c r="Y20" s="5">
        <f t="shared" si="1"/>
        <v>0.69491322708011349</v>
      </c>
      <c r="Z20" s="5">
        <f t="shared" si="1"/>
        <v>0.44582610028117475</v>
      </c>
      <c r="AA20" s="5">
        <f t="shared" si="1"/>
        <v>0.71161097333239509</v>
      </c>
      <c r="AB20" s="5">
        <f t="shared" si="1"/>
        <v>0.64952021478800914</v>
      </c>
      <c r="AC20" s="5">
        <f t="shared" si="1"/>
        <v>0.52809254009308004</v>
      </c>
      <c r="AD20" s="5">
        <f t="shared" si="1"/>
        <v>0.49213073320471312</v>
      </c>
      <c r="AE20" s="5">
        <f t="shared" si="1"/>
        <v>0</v>
      </c>
      <c r="AF20" s="5">
        <f t="shared" si="1"/>
        <v>0.89911123246905522</v>
      </c>
      <c r="AG20" s="5">
        <f t="shared" si="1"/>
        <v>0.21620425396505216</v>
      </c>
      <c r="AH20">
        <f t="shared" si="13"/>
        <v>299711535.88531095</v>
      </c>
    </row>
    <row r="21" spans="1:41">
      <c r="A21">
        <v>9</v>
      </c>
      <c r="B21">
        <v>79</v>
      </c>
      <c r="C21">
        <v>1396</v>
      </c>
      <c r="D21" s="1">
        <v>9.8799999999999999E-3</v>
      </c>
      <c r="E21" s="1">
        <v>9.5399999999999999E-3</v>
      </c>
      <c r="F21">
        <f t="shared" si="2"/>
        <v>3.4000000000000002E-4</v>
      </c>
      <c r="G21">
        <f t="shared" si="3"/>
        <v>496.37163926718733</v>
      </c>
      <c r="H21">
        <f t="shared" si="3"/>
        <v>8771.3266888227026</v>
      </c>
      <c r="K21">
        <f t="shared" si="4"/>
        <v>72183483339629.953</v>
      </c>
      <c r="L21">
        <f t="shared" si="5"/>
        <v>14637869904.116644</v>
      </c>
      <c r="M21">
        <f t="shared" si="6"/>
        <v>108901509356.33559</v>
      </c>
      <c r="O21">
        <f t="shared" si="7"/>
        <v>324022952.9656682</v>
      </c>
      <c r="P21">
        <f t="shared" si="8"/>
        <v>8503353.6160088275</v>
      </c>
      <c r="Q21">
        <f t="shared" si="9"/>
        <v>15876037.546300896</v>
      </c>
      <c r="R21" s="2">
        <f t="shared" si="10"/>
        <v>4.899664483948777E-2</v>
      </c>
      <c r="S21" s="2">
        <f t="shared" si="11"/>
        <v>1.5313277642141754</v>
      </c>
      <c r="U21" s="8">
        <v>9</v>
      </c>
      <c r="V21" s="10">
        <f t="shared" si="12"/>
        <v>15876037.546300896</v>
      </c>
      <c r="W21" s="18">
        <f t="shared" si="0"/>
        <v>324022952.9656682</v>
      </c>
      <c r="X21" s="17">
        <f t="shared" si="1"/>
        <v>0.20339251259929095</v>
      </c>
      <c r="Y21" s="6">
        <f t="shared" si="1"/>
        <v>1.5935461741360424</v>
      </c>
      <c r="Z21" s="6">
        <f t="shared" si="1"/>
        <v>0.45337344154007803</v>
      </c>
      <c r="AA21" s="6">
        <f t="shared" si="1"/>
        <v>1.610227384892035</v>
      </c>
      <c r="AB21" s="6">
        <f t="shared" si="1"/>
        <v>1.5481969259653452</v>
      </c>
      <c r="AC21" s="6">
        <f t="shared" si="1"/>
        <v>0.37110438593102213</v>
      </c>
      <c r="AD21" s="6">
        <f t="shared" si="1"/>
        <v>0.4070680648778468</v>
      </c>
      <c r="AE21" s="6">
        <f t="shared" si="1"/>
        <v>0.89911123246905522</v>
      </c>
      <c r="AF21" s="6">
        <f t="shared" si="1"/>
        <v>0</v>
      </c>
      <c r="AG21" s="6">
        <f t="shared" si="1"/>
        <v>0.68297134404118021</v>
      </c>
      <c r="AH21">
        <f t="shared" si="13"/>
        <v>299711535.88531095</v>
      </c>
    </row>
    <row r="22" spans="1:41">
      <c r="A22">
        <v>10</v>
      </c>
      <c r="B22">
        <v>93</v>
      </c>
      <c r="C22">
        <v>1385</v>
      </c>
      <c r="D22" s="1">
        <v>9.8899999999999995E-3</v>
      </c>
      <c r="E22" s="1">
        <v>9.5399999999999999E-3</v>
      </c>
      <c r="F22">
        <f t="shared" si="2"/>
        <v>3.4999999999999962E-4</v>
      </c>
      <c r="G22">
        <f t="shared" si="3"/>
        <v>584.33623356770147</v>
      </c>
      <c r="H22">
        <f t="shared" si="3"/>
        <v>8702.2116504437272</v>
      </c>
      <c r="K22">
        <f t="shared" si="4"/>
        <v>65556092392729.383</v>
      </c>
      <c r="L22">
        <f t="shared" si="5"/>
        <v>13293921371.901789</v>
      </c>
      <c r="M22">
        <f t="shared" si="6"/>
        <v>98902921814.970078</v>
      </c>
      <c r="O22">
        <f t="shared" si="7"/>
        <v>308790113.41524875</v>
      </c>
      <c r="P22">
        <f t="shared" si="8"/>
        <v>8103597.302181066</v>
      </c>
      <c r="Q22">
        <f t="shared" si="9"/>
        <v>15665562.061049121</v>
      </c>
      <c r="R22" s="2">
        <f t="shared" si="10"/>
        <v>5.0732071334106128E-2</v>
      </c>
      <c r="S22" s="2">
        <f t="shared" si="11"/>
        <v>0.57952453251012259</v>
      </c>
      <c r="U22" s="8">
        <v>10</v>
      </c>
      <c r="V22" s="10">
        <f t="shared" si="12"/>
        <v>15665562.061049121</v>
      </c>
      <c r="W22" s="18">
        <f t="shared" si="0"/>
        <v>308790113.41524875</v>
      </c>
      <c r="X22" s="16">
        <f t="shared" si="1"/>
        <v>0.47961135695459434</v>
      </c>
      <c r="Y22" s="5">
        <f t="shared" si="1"/>
        <v>0.91105217511024028</v>
      </c>
      <c r="Z22" s="5">
        <f t="shared" si="1"/>
        <v>0.2296325288270798</v>
      </c>
      <c r="AA22" s="5">
        <f t="shared" si="1"/>
        <v>0.92774713823361188</v>
      </c>
      <c r="AB22" s="5">
        <f t="shared" si="1"/>
        <v>0.86566644278418803</v>
      </c>
      <c r="AC22" s="5">
        <f t="shared" si="1"/>
        <v>0.31190548756346742</v>
      </c>
      <c r="AD22" s="5">
        <f t="shared" si="1"/>
        <v>0.27594065582800292</v>
      </c>
      <c r="AE22" s="5">
        <f t="shared" si="1"/>
        <v>0.21620425396505216</v>
      </c>
      <c r="AF22" s="5">
        <f t="shared" si="1"/>
        <v>0.68297134404118021</v>
      </c>
      <c r="AG22" s="5">
        <f t="shared" si="1"/>
        <v>0</v>
      </c>
      <c r="AH22">
        <f t="shared" si="13"/>
        <v>299711535.88531095</v>
      </c>
    </row>
    <row r="23" spans="1:41">
      <c r="D23" s="1"/>
      <c r="E23" s="1"/>
      <c r="Q23" s="2"/>
      <c r="R23" s="2"/>
    </row>
    <row r="24" spans="1:41">
      <c r="C24" s="1"/>
      <c r="D24" s="1"/>
      <c r="E24" s="1"/>
      <c r="Q24" s="2"/>
      <c r="R24" s="2"/>
    </row>
    <row r="25" spans="1:41">
      <c r="D25" s="1"/>
      <c r="E25" s="1"/>
      <c r="M25" t="s">
        <v>40</v>
      </c>
      <c r="N25" t="s">
        <v>41</v>
      </c>
      <c r="O25" t="s">
        <v>51</v>
      </c>
      <c r="P25" t="s">
        <v>50</v>
      </c>
      <c r="Q25" s="2"/>
      <c r="R25" s="2"/>
    </row>
    <row r="26" spans="1:41">
      <c r="D26" s="1"/>
      <c r="M26">
        <f>AVERAGE(O13:O22)</f>
        <v>306777297.87447006</v>
      </c>
      <c r="N26">
        <f>_xlfn.STDEV.S(O13:O22)</f>
        <v>13406772.372672901</v>
      </c>
      <c r="O26">
        <f>N26/SQRT(COUNT(O13:O22))</f>
        <v>4239593.6769066127</v>
      </c>
      <c r="P26">
        <f>N26/M26</f>
        <v>4.3701970339926545E-2</v>
      </c>
      <c r="Q26" s="2"/>
      <c r="R26" s="2"/>
      <c r="V26" t="s">
        <v>78</v>
      </c>
      <c r="W26" t="s">
        <v>79</v>
      </c>
      <c r="X26" t="s">
        <v>80</v>
      </c>
      <c r="Y26" t="s">
        <v>81</v>
      </c>
      <c r="Z26" t="s">
        <v>82</v>
      </c>
      <c r="AA26" t="s">
        <v>83</v>
      </c>
      <c r="AB26" t="s">
        <v>84</v>
      </c>
      <c r="AC26" t="s">
        <v>85</v>
      </c>
      <c r="AD26" t="s">
        <v>86</v>
      </c>
      <c r="AE26" t="s">
        <v>87</v>
      </c>
      <c r="AF26" t="s">
        <v>88</v>
      </c>
      <c r="AG26" t="s">
        <v>89</v>
      </c>
      <c r="AH26" t="s">
        <v>90</v>
      </c>
      <c r="AI26" t="s">
        <v>91</v>
      </c>
      <c r="AJ26" t="s">
        <v>92</v>
      </c>
      <c r="AK26" t="s">
        <v>93</v>
      </c>
      <c r="AL26" t="s">
        <v>94</v>
      </c>
      <c r="AM26" t="s">
        <v>95</v>
      </c>
      <c r="AN26" t="s">
        <v>96</v>
      </c>
      <c r="AO26" t="s">
        <v>101</v>
      </c>
    </row>
    <row r="27" spans="1:41">
      <c r="A27" t="s">
        <v>44</v>
      </c>
      <c r="B27" t="s">
        <v>45</v>
      </c>
      <c r="C27" t="s">
        <v>39</v>
      </c>
      <c r="Q27" s="2"/>
      <c r="R27" s="2"/>
    </row>
    <row r="28" spans="1:41">
      <c r="A28">
        <f>O13</f>
        <v>319465519.81298906</v>
      </c>
      <c r="B28">
        <f>P13</f>
        <v>8383752.6268694587</v>
      </c>
      <c r="C28">
        <f>1/B28^2</f>
        <v>1.4227319652870458E-14</v>
      </c>
      <c r="D28">
        <f>C28*A28</f>
        <v>4.5451380684498155E-6</v>
      </c>
      <c r="Q28" s="2"/>
      <c r="R28" s="2"/>
    </row>
    <row r="29" spans="1:41">
      <c r="A29">
        <f t="shared" ref="A29:B36" si="14">O14</f>
        <v>288776324.26335239</v>
      </c>
      <c r="B29">
        <f t="shared" si="14"/>
        <v>7578374.2437613485</v>
      </c>
      <c r="C29">
        <f t="shared" ref="C29:C37" si="15">1/B29^2</f>
        <v>1.7411969727895305E-14</v>
      </c>
      <c r="D29">
        <f t="shared" ref="D29:D37" si="16">C29*A29</f>
        <v>5.0281646162063702E-6</v>
      </c>
      <c r="Q29" s="2"/>
      <c r="R29" s="2"/>
    </row>
    <row r="30" spans="1:41">
      <c r="A30">
        <f t="shared" si="14"/>
        <v>313888814.97834831</v>
      </c>
      <c r="B30">
        <f t="shared" si="14"/>
        <v>8237402.8303904394</v>
      </c>
      <c r="C30">
        <f t="shared" si="15"/>
        <v>1.4737349761016923E-14</v>
      </c>
      <c r="D30">
        <f t="shared" si="16"/>
        <v>4.6258892524070472E-6</v>
      </c>
      <c r="Q30" s="2"/>
      <c r="R30" s="2"/>
    </row>
    <row r="31" spans="1:41">
      <c r="A31">
        <f t="shared" si="14"/>
        <v>288412626.12196279</v>
      </c>
      <c r="B31">
        <f t="shared" si="14"/>
        <v>7568829.6918170648</v>
      </c>
      <c r="C31">
        <f t="shared" si="15"/>
        <v>1.7455911589865617E-14</v>
      </c>
      <c r="D31">
        <f t="shared" si="16"/>
        <v>5.0345053029859495E-6</v>
      </c>
      <c r="Q31" s="2"/>
      <c r="R31" s="2"/>
    </row>
    <row r="32" spans="1:41">
      <c r="A32">
        <f t="shared" si="14"/>
        <v>289765583.20793098</v>
      </c>
      <c r="B32">
        <f t="shared" si="14"/>
        <v>7604335.4250497706</v>
      </c>
      <c r="C32">
        <f t="shared" si="15"/>
        <v>1.7293283832600302E-14</v>
      </c>
      <c r="D32">
        <f t="shared" si="16"/>
        <v>5.0109984753337103E-6</v>
      </c>
      <c r="Q32" s="2"/>
      <c r="R32" s="2"/>
    </row>
    <row r="33" spans="1:20">
      <c r="A33">
        <f t="shared" si="14"/>
        <v>315721160.85258794</v>
      </c>
      <c r="B33">
        <f t="shared" si="14"/>
        <v>8285489.1920907022</v>
      </c>
      <c r="C33">
        <f t="shared" si="15"/>
        <v>1.4566784311156367E-14</v>
      </c>
      <c r="D33">
        <f t="shared" si="16"/>
        <v>4.5990420526075539E-6</v>
      </c>
      <c r="Q33" s="2"/>
      <c r="R33" s="2"/>
    </row>
    <row r="34" spans="1:20">
      <c r="A34">
        <f t="shared" si="14"/>
        <v>314919802.42676944</v>
      </c>
      <c r="B34">
        <f t="shared" si="14"/>
        <v>8264459.0952857239</v>
      </c>
      <c r="C34">
        <f t="shared" si="15"/>
        <v>1.4641013161401928E-14</v>
      </c>
      <c r="D34">
        <f t="shared" si="16"/>
        <v>4.6107449721164262E-6</v>
      </c>
      <c r="Q34" s="2"/>
      <c r="R34" s="2"/>
    </row>
    <row r="35" spans="1:20">
      <c r="A35">
        <f t="shared" si="14"/>
        <v>304010080.69984245</v>
      </c>
      <c r="B35">
        <f t="shared" si="14"/>
        <v>7978154.6194847636</v>
      </c>
      <c r="C35">
        <f t="shared" si="15"/>
        <v>1.5710684321430012E-14</v>
      </c>
      <c r="D35">
        <f t="shared" si="16"/>
        <v>4.7762064084076876E-6</v>
      </c>
      <c r="Q35" s="2"/>
      <c r="R35" s="2"/>
    </row>
    <row r="36" spans="1:20">
      <c r="A36">
        <f t="shared" si="14"/>
        <v>324022952.9656682</v>
      </c>
      <c r="B36">
        <f t="shared" si="14"/>
        <v>8503353.6160088275</v>
      </c>
      <c r="C36">
        <f t="shared" si="15"/>
        <v>1.3829915302801525E-14</v>
      </c>
      <c r="D36">
        <f t="shared" si="16"/>
        <v>4.4812099956788337E-6</v>
      </c>
      <c r="Q36" s="2"/>
      <c r="R36" s="2"/>
    </row>
    <row r="37" spans="1:20">
      <c r="A37">
        <f>O22</f>
        <v>308790113.41524875</v>
      </c>
      <c r="B37">
        <f>P22</f>
        <v>8103597.302181066</v>
      </c>
      <c r="C37">
        <f t="shared" si="15"/>
        <v>1.5228050123362519E-14</v>
      </c>
      <c r="D37">
        <f t="shared" si="16"/>
        <v>4.7022713246862047E-6</v>
      </c>
      <c r="Q37" s="2"/>
      <c r="R37" s="2"/>
    </row>
    <row r="38" spans="1:20">
      <c r="B38" t="s">
        <v>46</v>
      </c>
      <c r="C38">
        <f>SUM(C28:C37)</f>
        <v>1.5510228178440095E-13</v>
      </c>
      <c r="D38">
        <f>SUM(D28:D37)</f>
        <v>4.7414170468879596E-5</v>
      </c>
      <c r="Q38" s="2"/>
      <c r="R38" s="2"/>
    </row>
    <row r="39" spans="1:20">
      <c r="Q39" s="2"/>
      <c r="R39" s="2"/>
    </row>
    <row r="40" spans="1:20">
      <c r="A40" t="s">
        <v>47</v>
      </c>
      <c r="B40" t="s">
        <v>48</v>
      </c>
      <c r="C40" t="s">
        <v>76</v>
      </c>
      <c r="D40" t="s">
        <v>49</v>
      </c>
      <c r="E40" t="s">
        <v>77</v>
      </c>
      <c r="F40" t="s">
        <v>52</v>
      </c>
      <c r="G40" t="s">
        <v>53</v>
      </c>
      <c r="S40" s="2"/>
      <c r="T40" s="2"/>
    </row>
    <row r="41" spans="1:20">
      <c r="A41">
        <f>D38/C38</f>
        <v>305696150.45887846</v>
      </c>
      <c r="B41">
        <f>SQRT(1/C38)</f>
        <v>2539164.9029498734</v>
      </c>
      <c r="C41">
        <f>B41/A41</f>
        <v>8.3061723189459535E-3</v>
      </c>
      <c r="D41">
        <f>O26</f>
        <v>4239593.6769066127</v>
      </c>
      <c r="E41">
        <f>D41/A41</f>
        <v>1.3868652485622036E-2</v>
      </c>
      <c r="F41">
        <f>(D41+B41)</f>
        <v>6778758.5798564861</v>
      </c>
      <c r="G41" s="2">
        <f>F41/A41</f>
        <v>2.2174824804567988E-2</v>
      </c>
      <c r="S41" s="2"/>
      <c r="T41" s="2"/>
    </row>
    <row r="42" spans="1:20">
      <c r="Q42" s="2"/>
      <c r="R42" s="2"/>
    </row>
    <row r="43" spans="1:20">
      <c r="A43" t="s">
        <v>36</v>
      </c>
    </row>
    <row r="44" spans="1:20">
      <c r="A44">
        <f>ABS(A41-B10)/F41</f>
        <v>0.88284816505357988</v>
      </c>
    </row>
  </sheetData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zoomScale="115" zoomScaleNormal="115" workbookViewId="0">
      <selection activeCell="T10" sqref="T10"/>
    </sheetView>
  </sheetViews>
  <sheetFormatPr defaultRowHeight="15"/>
  <cols>
    <col min="1" max="1" width="14.5703125" customWidth="1"/>
    <col min="2" max="2" width="16.5703125" customWidth="1"/>
    <col min="3" max="3" width="13.7109375" customWidth="1"/>
    <col min="4" max="5" width="13.5703125" customWidth="1"/>
    <col min="6" max="6" width="15.7109375" bestFit="1" customWidth="1"/>
    <col min="7" max="8" width="9.140625" customWidth="1"/>
    <col min="9" max="9" width="11.42578125" customWidth="1"/>
    <col min="11" max="12" width="11.85546875" customWidth="1"/>
    <col min="13" max="13" width="12" customWidth="1"/>
    <col min="14" max="14" width="9" customWidth="1"/>
    <col min="15" max="15" width="12.28515625" customWidth="1"/>
    <col min="16" max="16" width="10" customWidth="1"/>
    <col min="17" max="18" width="15.85546875" customWidth="1"/>
    <col min="19" max="19" width="15.5703125" customWidth="1"/>
    <col min="21" max="22" width="9.28515625" customWidth="1"/>
    <col min="23" max="25" width="11.85546875" customWidth="1"/>
    <col min="26" max="26" width="12" customWidth="1"/>
    <col min="27" max="27" width="11.85546875" customWidth="1"/>
    <col min="28" max="28" width="9.85546875" customWidth="1"/>
    <col min="29" max="31" width="11.85546875" customWidth="1"/>
    <col min="32" max="45" width="9.140625" customWidth="1"/>
  </cols>
  <sheetData>
    <row r="1" spans="1:34">
      <c r="A1" t="s">
        <v>0</v>
      </c>
      <c r="C1" t="s">
        <v>17</v>
      </c>
      <c r="E1" t="s">
        <v>100</v>
      </c>
    </row>
    <row r="2" spans="1:34">
      <c r="A2" t="s">
        <v>1</v>
      </c>
      <c r="B2" s="1">
        <f>Sheet1!B8</f>
        <v>0.252</v>
      </c>
      <c r="C2" s="1">
        <f>Sheet1!C8</f>
        <v>2.52E-4</v>
      </c>
      <c r="E2" s="1"/>
    </row>
    <row r="3" spans="1:34">
      <c r="A3" t="s">
        <v>2</v>
      </c>
      <c r="B3" s="1">
        <f>Sheet1!B6</f>
        <v>13.43</v>
      </c>
      <c r="C3" s="1">
        <f>Sheet1!C6</f>
        <v>0.34641016151377546</v>
      </c>
      <c r="E3" s="1"/>
    </row>
    <row r="4" spans="1:34">
      <c r="A4" t="s">
        <v>3</v>
      </c>
      <c r="B4" s="1">
        <f>Sheet1!B7</f>
        <v>0.47799999999999998</v>
      </c>
      <c r="C4" s="1">
        <f>Sheet1!C7</f>
        <v>5.0990195135927853E-3</v>
      </c>
      <c r="E4" s="1"/>
    </row>
    <row r="5" spans="1:34">
      <c r="A5" t="s">
        <v>4</v>
      </c>
      <c r="B5" s="1">
        <f>B4+B3</f>
        <v>13.907999999999999</v>
      </c>
      <c r="C5">
        <f>SQRT(C4^2+C3^2)</f>
        <v>0.34644768724873887</v>
      </c>
    </row>
    <row r="6" spans="1:34">
      <c r="A6" t="s">
        <v>5</v>
      </c>
      <c r="B6" s="1">
        <f>B3^2</f>
        <v>180.36490000000001</v>
      </c>
      <c r="C6" s="1">
        <f>2*B3*C3</f>
        <v>9.3045769382600092</v>
      </c>
    </row>
    <row r="7" spans="1:34">
      <c r="A7" t="s">
        <v>10</v>
      </c>
      <c r="B7">
        <v>0</v>
      </c>
    </row>
    <row r="8" spans="1:34">
      <c r="A8" t="s">
        <v>11</v>
      </c>
      <c r="B8">
        <v>0</v>
      </c>
    </row>
    <row r="9" spans="1:34">
      <c r="A9" t="s">
        <v>12</v>
      </c>
      <c r="B9" s="1">
        <f>0.00001*SQRT(2)</f>
        <v>1.4142135623730953E-5</v>
      </c>
      <c r="C9" s="1"/>
      <c r="E9" s="1"/>
    </row>
    <row r="10" spans="1:34">
      <c r="A10" t="s">
        <v>15</v>
      </c>
      <c r="B10">
        <f>299792458/1.00027</f>
        <v>299711535.88531095</v>
      </c>
      <c r="W10" t="s">
        <v>20</v>
      </c>
      <c r="X10">
        <f t="array" ref="X10:AG12">TRANSPOSE(U13:W22)</f>
        <v>1</v>
      </c>
      <c r="Y10">
        <v>2</v>
      </c>
      <c r="Z10">
        <v>3</v>
      </c>
      <c r="AA10">
        <v>4</v>
      </c>
      <c r="AB10">
        <v>5</v>
      </c>
      <c r="AC10">
        <v>6</v>
      </c>
      <c r="AD10">
        <v>7</v>
      </c>
      <c r="AE10">
        <v>8</v>
      </c>
      <c r="AF10">
        <v>9</v>
      </c>
      <c r="AG10">
        <v>10</v>
      </c>
    </row>
    <row r="11" spans="1:34">
      <c r="I11" t="s">
        <v>14</v>
      </c>
      <c r="V11" t="s">
        <v>18</v>
      </c>
      <c r="X11">
        <v>7740692.4201386422</v>
      </c>
      <c r="Y11">
        <v>7897187.0697444165</v>
      </c>
      <c r="Z11">
        <v>7643325.2198853306</v>
      </c>
      <c r="AA11">
        <v>7649276.6296331473</v>
      </c>
      <c r="AB11">
        <v>7786179.6784976404</v>
      </c>
      <c r="AC11">
        <v>7716293.0193562405</v>
      </c>
      <c r="AD11">
        <v>7869331.0947507741</v>
      </c>
      <c r="AE11">
        <v>7806242.9178525228</v>
      </c>
      <c r="AF11">
        <v>7721781.1367241852</v>
      </c>
      <c r="AG11">
        <v>7872127.5876771258</v>
      </c>
      <c r="AH11" t="s">
        <v>44</v>
      </c>
    </row>
    <row r="12" spans="1:34">
      <c r="B12" t="s">
        <v>6</v>
      </c>
      <c r="C12" t="s">
        <v>7</v>
      </c>
      <c r="D12" t="s">
        <v>31</v>
      </c>
      <c r="E12" t="s">
        <v>32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54</v>
      </c>
      <c r="R12" t="s">
        <v>35</v>
      </c>
      <c r="S12" t="s">
        <v>36</v>
      </c>
      <c r="U12" t="s">
        <v>20</v>
      </c>
      <c r="W12" t="s">
        <v>19</v>
      </c>
      <c r="X12">
        <v>294961509.21564645</v>
      </c>
      <c r="Y12">
        <v>300924786.85626167</v>
      </c>
      <c r="Z12">
        <v>291251301.55255669</v>
      </c>
      <c r="AA12">
        <v>291478081.88510293</v>
      </c>
      <c r="AB12">
        <v>296694815.44297379</v>
      </c>
      <c r="AC12">
        <v>294031762.40643191</v>
      </c>
      <c r="AD12">
        <v>299863326.2040568</v>
      </c>
      <c r="AE12">
        <v>297459331.46281648</v>
      </c>
      <c r="AF12">
        <v>294240888.83773029</v>
      </c>
      <c r="AG12">
        <v>299969887.44293529</v>
      </c>
      <c r="AH12">
        <f>$B$10</f>
        <v>299711535.88531095</v>
      </c>
    </row>
    <row r="13" spans="1:34">
      <c r="A13">
        <v>1</v>
      </c>
      <c r="B13">
        <v>-1384</v>
      </c>
      <c r="C13">
        <v>1384</v>
      </c>
      <c r="D13" s="1">
        <v>1.0315E-2</v>
      </c>
      <c r="E13" s="1">
        <v>9.5300000000000003E-3</v>
      </c>
      <c r="F13">
        <f>ABS(E13-D13)</f>
        <v>7.8499999999999924E-4</v>
      </c>
      <c r="G13">
        <f>2*PI()*B13</f>
        <v>-8695.9284651365469</v>
      </c>
      <c r="H13">
        <f>2*PI()*C13</f>
        <v>8695.9284651365469</v>
      </c>
      <c r="K13">
        <f>((4*$B$3*(2*$B$4+$B$3-2*$B$2)*$B$2*(H13-G13))/(($B$5-$B$2)^2*F13)*$C$3)^2</f>
        <v>59815946349029.672</v>
      </c>
      <c r="L13">
        <f>((4*$B$6*$B$2*(G13-H13)/(($B$5-$B$2)^2*F13))*$C$4)^2</f>
        <v>12129894545.668316</v>
      </c>
      <c r="M13">
        <f>((4*$B$6*$B$5*(H13-G13)/(($B$5-$B$2)^2*F13))*$C$2)^2</f>
        <v>90242899616.491608</v>
      </c>
      <c r="O13">
        <f>4*$B$2*$B$6*ABS(H13-G13)/(($B$5-$B$2)*F13)</f>
        <v>294961509.21564645</v>
      </c>
      <c r="P13">
        <f>SQRT(K13+L13+M13)</f>
        <v>7740692.4201386422</v>
      </c>
      <c r="Q13">
        <f>SQRT(P13^2+$P$26^2)</f>
        <v>8483868.3631303795</v>
      </c>
      <c r="R13" s="2">
        <f>Q13/O13</f>
        <v>2.8762628675485319E-2</v>
      </c>
      <c r="S13" s="2">
        <f>(O13-$B$10)/P13</f>
        <v>-0.61364363959308765</v>
      </c>
      <c r="U13">
        <v>1</v>
      </c>
      <c r="V13">
        <f>P13</f>
        <v>7740692.4201386422</v>
      </c>
      <c r="W13">
        <f>O13</f>
        <v>294961509.21564645</v>
      </c>
      <c r="X13">
        <f>ABS(($W13-X$12)/SQRT($V13^2+X$11^2))</f>
        <v>0</v>
      </c>
      <c r="Y13">
        <f t="shared" ref="Y13:AG22" si="0">ABS(($W13-Y$12)/SQRT($V13^2+Y$11^2))</f>
        <v>0.53926274724756795</v>
      </c>
      <c r="Z13">
        <f t="shared" si="0"/>
        <v>0.34106311045928706</v>
      </c>
      <c r="AA13">
        <f t="shared" si="0"/>
        <v>0.32009312383765176</v>
      </c>
      <c r="AB13">
        <f t="shared" si="0"/>
        <v>0.15787176193572541</v>
      </c>
      <c r="AC13">
        <f t="shared" si="0"/>
        <v>8.50656755902581E-2</v>
      </c>
      <c r="AD13">
        <f t="shared" si="0"/>
        <v>0.44407240553038507</v>
      </c>
      <c r="AE13">
        <f t="shared" si="0"/>
        <v>0.22721022654730863</v>
      </c>
      <c r="AF13">
        <f t="shared" si="0"/>
        <v>6.5908623598473076E-2</v>
      </c>
      <c r="AG13">
        <f t="shared" si="0"/>
        <v>0.45364421304522334</v>
      </c>
      <c r="AH13">
        <f t="shared" ref="AH13:AH22" si="1">$B$10</f>
        <v>299711535.88531095</v>
      </c>
    </row>
    <row r="14" spans="1:34">
      <c r="A14">
        <v>2</v>
      </c>
      <c r="B14">
        <v>-1388</v>
      </c>
      <c r="C14">
        <v>1382</v>
      </c>
      <c r="D14" s="1">
        <v>1.031E-2</v>
      </c>
      <c r="E14" s="1">
        <v>9.5399999999999999E-3</v>
      </c>
      <c r="F14">
        <f t="shared" ref="F14:F22" si="2">ABS(E14-D14)</f>
        <v>7.6999999999999985E-4</v>
      </c>
      <c r="G14">
        <f t="shared" ref="G14:H22" si="3">2*PI()*B14</f>
        <v>-8721.0612063652661</v>
      </c>
      <c r="H14">
        <f t="shared" si="3"/>
        <v>8683.3620945221883</v>
      </c>
      <c r="K14">
        <f t="shared" ref="K14:K22" si="4">((4*$B$3*(2*$B$4+$B$3-2*$B$2)*$B$2*(H14-G14))/(($B$5-$B$2)^2*F14)*$C$3)^2</f>
        <v>62259009607383.094</v>
      </c>
      <c r="L14">
        <f t="shared" ref="L14:L22" si="5">((4*$B$6*$B$2*(G14-H14)/(($B$5-$B$2)^2*F14))*$C$4)^2</f>
        <v>12625315942.486269</v>
      </c>
      <c r="M14">
        <f t="shared" ref="M14:M22" si="6">((4*$B$6*$B$5*(H14-G14)/(($B$5-$B$2)^2*F14))*$C$2)^2</f>
        <v>93928691212.83078</v>
      </c>
      <c r="O14">
        <f t="shared" ref="O14:O22" si="7">4*$B$2*$B$6*ABS(H14-G14)/(($B$5-$B$2)*F14)</f>
        <v>300924786.85626167</v>
      </c>
      <c r="P14">
        <f t="shared" ref="P14:P22" si="8">SQRT(K14+L14+M14)</f>
        <v>7897187.0697444165</v>
      </c>
      <c r="Q14">
        <f t="shared" ref="Q14:Q22" si="9">SQRT(P14^2+$P$26^2)</f>
        <v>8626892.075033227</v>
      </c>
      <c r="R14" s="2">
        <f t="shared" ref="R14:R22" si="10">Q14/O14</f>
        <v>2.8667934486745712E-2</v>
      </c>
      <c r="S14" s="2">
        <f>(O14-$B$10)/P14</f>
        <v>0.15363077514003834</v>
      </c>
      <c r="U14">
        <v>2</v>
      </c>
      <c r="V14" s="30">
        <f t="shared" ref="V14:V22" si="11">P14</f>
        <v>7897187.0697444165</v>
      </c>
      <c r="W14">
        <f t="shared" ref="W14:W22" si="12">O14</f>
        <v>300924786.85626167</v>
      </c>
      <c r="X14">
        <f t="shared" ref="X14:AG22" si="13">ABS(($W14-X$12)/SQRT($V14^2+X$11^2))</f>
        <v>0.53926274724756795</v>
      </c>
      <c r="Y14">
        <f t="shared" si="13"/>
        <v>0</v>
      </c>
      <c r="Z14">
        <f t="shared" si="13"/>
        <v>0.88018650420647637</v>
      </c>
      <c r="AA14">
        <f t="shared" si="13"/>
        <v>0.85922819939375339</v>
      </c>
      <c r="AB14">
        <f t="shared" si="13"/>
        <v>0.38141893867069809</v>
      </c>
      <c r="AC14">
        <f t="shared" si="13"/>
        <v>0.62430376973012958</v>
      </c>
      <c r="AD14">
        <f t="shared" si="13"/>
        <v>9.5209969107692513E-2</v>
      </c>
      <c r="AE14">
        <f t="shared" si="13"/>
        <v>0.31208543838110919</v>
      </c>
      <c r="AF14">
        <f t="shared" si="13"/>
        <v>0.60515285560453669</v>
      </c>
      <c r="AG14">
        <f t="shared" si="13"/>
        <v>8.563656856523702E-2</v>
      </c>
      <c r="AH14">
        <f t="shared" si="1"/>
        <v>299711535.88531095</v>
      </c>
    </row>
    <row r="15" spans="1:34">
      <c r="A15">
        <v>3</v>
      </c>
      <c r="B15">
        <v>-1395</v>
      </c>
      <c r="C15">
        <v>1373</v>
      </c>
      <c r="D15" s="1">
        <v>1.0319999999999999E-2</v>
      </c>
      <c r="E15" s="1">
        <v>9.5250000000000005E-3</v>
      </c>
      <c r="F15">
        <f t="shared" si="2"/>
        <v>7.9499999999999883E-4</v>
      </c>
      <c r="G15">
        <f t="shared" si="3"/>
        <v>-8765.0435035155224</v>
      </c>
      <c r="H15">
        <f t="shared" si="3"/>
        <v>8626.8134267575715</v>
      </c>
      <c r="K15">
        <f t="shared" si="4"/>
        <v>58320606841392.117</v>
      </c>
      <c r="L15">
        <f t="shared" si="5"/>
        <v>11826659177.096582</v>
      </c>
      <c r="M15">
        <f t="shared" si="6"/>
        <v>87986916365.923172</v>
      </c>
      <c r="O15">
        <f t="shared" si="7"/>
        <v>291251301.55255669</v>
      </c>
      <c r="P15">
        <f t="shared" si="8"/>
        <v>7643325.2198853306</v>
      </c>
      <c r="Q15">
        <f t="shared" si="9"/>
        <v>8395124.9947018567</v>
      </c>
      <c r="R15" s="2">
        <f t="shared" si="10"/>
        <v>2.8824334689494753E-2</v>
      </c>
      <c r="S15" s="2">
        <f>(O15-$B$10)/P15</f>
        <v>-1.1068787588343885</v>
      </c>
      <c r="U15">
        <v>3</v>
      </c>
      <c r="V15">
        <f t="shared" si="11"/>
        <v>7643325.2198853306</v>
      </c>
      <c r="W15">
        <f t="shared" si="12"/>
        <v>291251301.55255669</v>
      </c>
      <c r="X15">
        <f t="shared" si="13"/>
        <v>0.34106311045928706</v>
      </c>
      <c r="Y15">
        <f t="shared" si="0"/>
        <v>0.88018650420647637</v>
      </c>
      <c r="Z15">
        <f t="shared" si="0"/>
        <v>0</v>
      </c>
      <c r="AA15">
        <f t="shared" si="0"/>
        <v>2.0971957606405085E-2</v>
      </c>
      <c r="AB15">
        <f t="shared" si="0"/>
        <v>0.49891174686664941</v>
      </c>
      <c r="AC15">
        <f t="shared" si="0"/>
        <v>0.25600382882375905</v>
      </c>
      <c r="AD15">
        <f t="shared" si="0"/>
        <v>0.78503316521212851</v>
      </c>
      <c r="AE15">
        <f t="shared" si="0"/>
        <v>0.5682354302150201</v>
      </c>
      <c r="AF15">
        <f t="shared" si="0"/>
        <v>0.27515981156880365</v>
      </c>
      <c r="AG15">
        <f t="shared" si="0"/>
        <v>0.79460149236180833</v>
      </c>
      <c r="AH15">
        <f t="shared" si="1"/>
        <v>299711535.88531095</v>
      </c>
    </row>
    <row r="16" spans="1:34">
      <c r="A16">
        <v>4</v>
      </c>
      <c r="B16">
        <v>-1410</v>
      </c>
      <c r="C16">
        <v>1395</v>
      </c>
      <c r="D16" s="1">
        <v>1.0330000000000001E-2</v>
      </c>
      <c r="E16" s="1">
        <v>9.5250000000000005E-3</v>
      </c>
      <c r="F16">
        <f t="shared" si="2"/>
        <v>8.0500000000000016E-4</v>
      </c>
      <c r="G16">
        <f t="shared" si="3"/>
        <v>-8859.291283123217</v>
      </c>
      <c r="H16">
        <f t="shared" si="3"/>
        <v>8765.0435035155224</v>
      </c>
      <c r="K16">
        <f t="shared" si="4"/>
        <v>58411463882621.406</v>
      </c>
      <c r="L16">
        <f t="shared" si="5"/>
        <v>11845083801.232964</v>
      </c>
      <c r="M16">
        <f t="shared" si="6"/>
        <v>88123990229.191452</v>
      </c>
      <c r="O16">
        <f t="shared" si="7"/>
        <v>291478081.88510293</v>
      </c>
      <c r="P16">
        <f t="shared" si="8"/>
        <v>7649276.6296331473</v>
      </c>
      <c r="Q16">
        <f t="shared" si="9"/>
        <v>8400543.8048012424</v>
      </c>
      <c r="R16" s="2">
        <f t="shared" si="10"/>
        <v>2.8820499128001786E-2</v>
      </c>
      <c r="S16" s="2">
        <f t="shared" ref="S16:S22" si="14">(O16-$B$10)/P16</f>
        <v>-1.076370276414345</v>
      </c>
      <c r="U16">
        <v>4</v>
      </c>
      <c r="V16">
        <f t="shared" si="11"/>
        <v>7649276.6296331473</v>
      </c>
      <c r="W16">
        <f t="shared" si="12"/>
        <v>291478081.88510293</v>
      </c>
      <c r="X16">
        <f t="shared" si="13"/>
        <v>0.32009312383765176</v>
      </c>
      <c r="Y16">
        <f t="shared" si="0"/>
        <v>0.85922819939375339</v>
      </c>
      <c r="Z16">
        <f t="shared" si="0"/>
        <v>2.0971957606405085E-2</v>
      </c>
      <c r="AA16">
        <f t="shared" si="0"/>
        <v>0</v>
      </c>
      <c r="AB16">
        <f t="shared" si="0"/>
        <v>0.47794409419166201</v>
      </c>
      <c r="AC16">
        <f t="shared" si="0"/>
        <v>0.23503295751782116</v>
      </c>
      <c r="AD16">
        <f t="shared" si="0"/>
        <v>0.76407203611819852</v>
      </c>
      <c r="AE16">
        <f t="shared" si="0"/>
        <v>0.54726908684685327</v>
      </c>
      <c r="AF16">
        <f t="shared" si="0"/>
        <v>0.25418911670892885</v>
      </c>
      <c r="AG16">
        <f t="shared" si="0"/>
        <v>0.77364063249060155</v>
      </c>
      <c r="AH16">
        <f t="shared" si="1"/>
        <v>299711535.88531095</v>
      </c>
    </row>
    <row r="17" spans="1:34">
      <c r="A17">
        <v>5</v>
      </c>
      <c r="B17">
        <v>-1405</v>
      </c>
      <c r="C17">
        <v>1397</v>
      </c>
      <c r="D17" s="1">
        <v>1.0319999999999999E-2</v>
      </c>
      <c r="E17" s="1">
        <v>9.5300000000000003E-3</v>
      </c>
      <c r="F17">
        <f t="shared" si="2"/>
        <v>7.8999999999999904E-4</v>
      </c>
      <c r="G17">
        <f t="shared" si="3"/>
        <v>-8827.8753565873194</v>
      </c>
      <c r="H17">
        <f t="shared" si="3"/>
        <v>8777.6098741298811</v>
      </c>
      <c r="K17">
        <f t="shared" si="4"/>
        <v>60521014493466.898</v>
      </c>
      <c r="L17">
        <f t="shared" si="5"/>
        <v>12272873178.65073</v>
      </c>
      <c r="M17">
        <f t="shared" si="6"/>
        <v>91306619204.073914</v>
      </c>
      <c r="O17">
        <f t="shared" si="7"/>
        <v>296694815.44297379</v>
      </c>
      <c r="P17">
        <f t="shared" si="8"/>
        <v>7786179.6784976404</v>
      </c>
      <c r="Q17">
        <f t="shared" si="9"/>
        <v>8525391.3250702061</v>
      </c>
      <c r="R17" s="2">
        <f t="shared" si="10"/>
        <v>2.8734547694544491E-2</v>
      </c>
      <c r="S17" s="2">
        <f t="shared" si="14"/>
        <v>-0.38744552102594654</v>
      </c>
      <c r="U17">
        <v>5</v>
      </c>
      <c r="V17">
        <f t="shared" si="11"/>
        <v>7786179.6784976404</v>
      </c>
      <c r="W17">
        <f t="shared" si="12"/>
        <v>296694815.44297379</v>
      </c>
      <c r="X17">
        <f t="shared" si="13"/>
        <v>0.15787176193572541</v>
      </c>
      <c r="Y17">
        <f t="shared" si="0"/>
        <v>0.38141893867069809</v>
      </c>
      <c r="Z17">
        <f t="shared" si="0"/>
        <v>0.49891174686664941</v>
      </c>
      <c r="AA17">
        <f t="shared" si="0"/>
        <v>0.47794409419166201</v>
      </c>
      <c r="AB17">
        <f t="shared" si="0"/>
        <v>0</v>
      </c>
      <c r="AC17">
        <f t="shared" si="0"/>
        <v>0.24293462895896162</v>
      </c>
      <c r="AD17">
        <f t="shared" si="0"/>
        <v>0.28621791732137281</v>
      </c>
      <c r="AE17">
        <f t="shared" si="0"/>
        <v>6.9340605809314254E-2</v>
      </c>
      <c r="AF17">
        <f t="shared" si="0"/>
        <v>0.22377838105436856</v>
      </c>
      <c r="AG17">
        <f t="shared" si="0"/>
        <v>0.29579068733445818</v>
      </c>
      <c r="AH17">
        <f t="shared" si="1"/>
        <v>299711535.88531095</v>
      </c>
    </row>
    <row r="18" spans="1:34">
      <c r="A18">
        <v>6</v>
      </c>
      <c r="B18">
        <v>-1416</v>
      </c>
      <c r="C18">
        <v>1396</v>
      </c>
      <c r="D18" s="1">
        <v>1.0319999999999999E-2</v>
      </c>
      <c r="E18" s="1">
        <v>9.5200000000000007E-3</v>
      </c>
      <c r="F18">
        <f t="shared" si="2"/>
        <v>7.9999999999999863E-4</v>
      </c>
      <c r="G18">
        <f t="shared" si="3"/>
        <v>-8896.9903949662948</v>
      </c>
      <c r="H18">
        <f t="shared" si="3"/>
        <v>8771.3266888227026</v>
      </c>
      <c r="K18">
        <f t="shared" si="4"/>
        <v>59439449526879.938</v>
      </c>
      <c r="L18">
        <f t="shared" si="5"/>
        <v>12053545895.71455</v>
      </c>
      <c r="M18">
        <f t="shared" si="6"/>
        <v>89674887790.19812</v>
      </c>
      <c r="O18">
        <f t="shared" si="7"/>
        <v>294031762.40643191</v>
      </c>
      <c r="P18">
        <f t="shared" si="8"/>
        <v>7716293.0193562405</v>
      </c>
      <c r="Q18">
        <f t="shared" si="9"/>
        <v>8461612.2116472907</v>
      </c>
      <c r="R18" s="2">
        <f t="shared" si="10"/>
        <v>2.8777884886977075E-2</v>
      </c>
      <c r="S18" s="2">
        <f t="shared" si="14"/>
        <v>-0.73607540105480473</v>
      </c>
      <c r="U18">
        <v>6</v>
      </c>
      <c r="V18">
        <f t="shared" si="11"/>
        <v>7716293.0193562405</v>
      </c>
      <c r="W18">
        <f t="shared" si="12"/>
        <v>294031762.40643191</v>
      </c>
      <c r="X18">
        <f t="shared" si="13"/>
        <v>8.50656755902581E-2</v>
      </c>
      <c r="Y18">
        <f t="shared" si="0"/>
        <v>0.62430376973012958</v>
      </c>
      <c r="Z18">
        <f t="shared" si="0"/>
        <v>0.25600382882375905</v>
      </c>
      <c r="AA18">
        <f t="shared" si="0"/>
        <v>0.23503295751782116</v>
      </c>
      <c r="AB18">
        <f t="shared" si="0"/>
        <v>0.24293462895896162</v>
      </c>
      <c r="AC18">
        <f t="shared" si="0"/>
        <v>0</v>
      </c>
      <c r="AD18">
        <f t="shared" si="0"/>
        <v>0.52912087474889336</v>
      </c>
      <c r="AE18">
        <f t="shared" si="0"/>
        <v>0.31227070638662779</v>
      </c>
      <c r="AF18">
        <f t="shared" si="0"/>
        <v>1.9157144454363523E-2</v>
      </c>
      <c r="AG18">
        <f t="shared" si="0"/>
        <v>0.53869199345748475</v>
      </c>
      <c r="AH18">
        <f t="shared" si="1"/>
        <v>299711535.88531095</v>
      </c>
    </row>
    <row r="19" spans="1:34">
      <c r="A19">
        <v>7</v>
      </c>
      <c r="B19">
        <v>-1420</v>
      </c>
      <c r="C19">
        <v>1394</v>
      </c>
      <c r="D19" s="1">
        <v>1.0315E-2</v>
      </c>
      <c r="E19" s="1">
        <v>9.5300000000000003E-3</v>
      </c>
      <c r="F19">
        <f t="shared" si="2"/>
        <v>7.8499999999999924E-4</v>
      </c>
      <c r="G19">
        <f t="shared" si="3"/>
        <v>-8922.1231361950122</v>
      </c>
      <c r="H19">
        <f t="shared" si="3"/>
        <v>8758.760318208344</v>
      </c>
      <c r="K19">
        <f t="shared" si="4"/>
        <v>61820568247931.703</v>
      </c>
      <c r="L19">
        <f t="shared" si="5"/>
        <v>12536405747.476187</v>
      </c>
      <c r="M19">
        <f t="shared" si="6"/>
        <v>93267225132.233841</v>
      </c>
      <c r="O19">
        <f t="shared" si="7"/>
        <v>299863326.2040568</v>
      </c>
      <c r="P19">
        <f t="shared" si="8"/>
        <v>7869331.0947507741</v>
      </c>
      <c r="Q19">
        <f t="shared" si="9"/>
        <v>8601399.603468271</v>
      </c>
      <c r="R19" s="2">
        <f t="shared" si="10"/>
        <v>2.8684400031016209E-2</v>
      </c>
      <c r="S19" s="2">
        <f t="shared" si="14"/>
        <v>1.9288846398533545E-2</v>
      </c>
      <c r="U19">
        <v>7</v>
      </c>
      <c r="V19">
        <f t="shared" si="11"/>
        <v>7869331.0947507741</v>
      </c>
      <c r="W19">
        <f t="shared" si="12"/>
        <v>299863326.2040568</v>
      </c>
      <c r="X19">
        <f t="shared" si="13"/>
        <v>0.44407240553038507</v>
      </c>
      <c r="Y19">
        <f t="shared" si="0"/>
        <v>9.5209969107692513E-2</v>
      </c>
      <c r="Z19">
        <f t="shared" si="0"/>
        <v>0.78503316521212851</v>
      </c>
      <c r="AA19">
        <f t="shared" si="0"/>
        <v>0.76407203611819852</v>
      </c>
      <c r="AB19">
        <f t="shared" si="0"/>
        <v>0.28621791732137281</v>
      </c>
      <c r="AC19">
        <f t="shared" si="0"/>
        <v>0.52912087474889336</v>
      </c>
      <c r="AD19">
        <f t="shared" si="0"/>
        <v>0</v>
      </c>
      <c r="AE19">
        <f t="shared" si="0"/>
        <v>0.21688101696609402</v>
      </c>
      <c r="AF19">
        <f t="shared" si="0"/>
        <v>0.50996818022829093</v>
      </c>
      <c r="AG19">
        <f t="shared" si="0"/>
        <v>9.5734677393912258E-3</v>
      </c>
      <c r="AH19">
        <f t="shared" si="1"/>
        <v>299711535.88531095</v>
      </c>
    </row>
    <row r="20" spans="1:34">
      <c r="A20">
        <v>8</v>
      </c>
      <c r="B20">
        <v>-1428</v>
      </c>
      <c r="C20">
        <v>1399</v>
      </c>
      <c r="D20" s="1">
        <v>1.0335E-2</v>
      </c>
      <c r="E20" s="1">
        <v>9.5399999999999999E-3</v>
      </c>
      <c r="F20">
        <f t="shared" si="2"/>
        <v>7.9500000000000057E-4</v>
      </c>
      <c r="G20">
        <f t="shared" si="3"/>
        <v>-8972.3886186524487</v>
      </c>
      <c r="H20">
        <f t="shared" si="3"/>
        <v>8790.1762447442416</v>
      </c>
      <c r="K20">
        <f t="shared" si="4"/>
        <v>60833314510137.273</v>
      </c>
      <c r="L20">
        <f t="shared" si="5"/>
        <v>12336203552.907755</v>
      </c>
      <c r="M20">
        <f t="shared" si="6"/>
        <v>91777778832.48082</v>
      </c>
      <c r="O20">
        <f t="shared" si="7"/>
        <v>297459331.46281648</v>
      </c>
      <c r="P20">
        <f t="shared" si="8"/>
        <v>7806242.9178525228</v>
      </c>
      <c r="Q20">
        <f t="shared" si="9"/>
        <v>8543718.8479171861</v>
      </c>
      <c r="R20" s="2">
        <f t="shared" si="10"/>
        <v>2.8722309049447933E-2</v>
      </c>
      <c r="S20" s="2">
        <f t="shared" si="14"/>
        <v>-0.28851323821140412</v>
      </c>
      <c r="U20">
        <v>8</v>
      </c>
      <c r="V20">
        <f t="shared" si="11"/>
        <v>7806242.9178525228</v>
      </c>
      <c r="W20">
        <f t="shared" si="12"/>
        <v>297459331.46281648</v>
      </c>
      <c r="X20">
        <f t="shared" si="13"/>
        <v>0.22721022654730863</v>
      </c>
      <c r="Y20">
        <f t="shared" si="0"/>
        <v>0.31208543838110919</v>
      </c>
      <c r="Z20">
        <f t="shared" si="0"/>
        <v>0.5682354302150201</v>
      </c>
      <c r="AA20">
        <f t="shared" si="0"/>
        <v>0.54726908684685327</v>
      </c>
      <c r="AB20">
        <f t="shared" si="0"/>
        <v>6.9340605809314254E-2</v>
      </c>
      <c r="AC20">
        <f t="shared" si="0"/>
        <v>0.31227070638662779</v>
      </c>
      <c r="AD20">
        <f t="shared" si="0"/>
        <v>0.21688101696609402</v>
      </c>
      <c r="AE20">
        <f t="shared" si="0"/>
        <v>0</v>
      </c>
      <c r="AF20">
        <f t="shared" si="0"/>
        <v>0.29311507143637661</v>
      </c>
      <c r="AG20">
        <f t="shared" si="0"/>
        <v>0.22645407993640065</v>
      </c>
      <c r="AH20">
        <f t="shared" si="1"/>
        <v>299711535.88531095</v>
      </c>
    </row>
    <row r="21" spans="1:34">
      <c r="A21">
        <v>9</v>
      </c>
      <c r="B21">
        <v>-1416</v>
      </c>
      <c r="C21">
        <v>1398</v>
      </c>
      <c r="D21" s="1">
        <v>1.035E-2</v>
      </c>
      <c r="E21" s="1">
        <v>9.5499999999999995E-3</v>
      </c>
      <c r="F21">
        <f t="shared" si="2"/>
        <v>8.0000000000000036E-4</v>
      </c>
      <c r="G21">
        <f t="shared" si="3"/>
        <v>-8896.9903949662948</v>
      </c>
      <c r="H21">
        <f t="shared" si="3"/>
        <v>8783.8930594370613</v>
      </c>
      <c r="K21">
        <f t="shared" si="4"/>
        <v>59524030732158.75</v>
      </c>
      <c r="L21">
        <f t="shared" si="5"/>
        <v>12070697862.091389</v>
      </c>
      <c r="M21">
        <f t="shared" si="6"/>
        <v>89802493448.610336</v>
      </c>
      <c r="O21">
        <f t="shared" si="7"/>
        <v>294240888.83773029</v>
      </c>
      <c r="P21">
        <f t="shared" si="8"/>
        <v>7721781.1367241852</v>
      </c>
      <c r="Q21">
        <f t="shared" si="9"/>
        <v>8466617.2219607383</v>
      </c>
      <c r="R21" s="2">
        <f t="shared" si="10"/>
        <v>2.8774441429280616E-2</v>
      </c>
      <c r="S21" s="2">
        <f t="shared" si="14"/>
        <v>-0.70846958113882452</v>
      </c>
      <c r="U21">
        <v>9</v>
      </c>
      <c r="V21">
        <f t="shared" si="11"/>
        <v>7721781.1367241852</v>
      </c>
      <c r="W21">
        <f t="shared" si="12"/>
        <v>294240888.83773029</v>
      </c>
      <c r="X21">
        <f t="shared" si="13"/>
        <v>6.5908623598473076E-2</v>
      </c>
      <c r="Y21">
        <f t="shared" si="0"/>
        <v>0.60515285560453669</v>
      </c>
      <c r="Z21">
        <f t="shared" si="0"/>
        <v>0.27515981156880365</v>
      </c>
      <c r="AA21">
        <f t="shared" si="0"/>
        <v>0.25418911670892885</v>
      </c>
      <c r="AB21">
        <f t="shared" si="0"/>
        <v>0.22377838105436856</v>
      </c>
      <c r="AC21">
        <f t="shared" si="0"/>
        <v>1.9157144454363523E-2</v>
      </c>
      <c r="AD21">
        <f t="shared" si="0"/>
        <v>0.50996818022829093</v>
      </c>
      <c r="AE21">
        <f t="shared" si="0"/>
        <v>0.29311507143637661</v>
      </c>
      <c r="AF21">
        <f t="shared" si="0"/>
        <v>0</v>
      </c>
      <c r="AG21">
        <f t="shared" si="0"/>
        <v>0.51953946445374921</v>
      </c>
      <c r="AH21">
        <f t="shared" si="1"/>
        <v>299711535.88531095</v>
      </c>
    </row>
    <row r="22" spans="1:34">
      <c r="A22">
        <v>10</v>
      </c>
      <c r="B22">
        <v>-1420</v>
      </c>
      <c r="C22">
        <v>1395</v>
      </c>
      <c r="D22" s="1">
        <v>1.0315E-2</v>
      </c>
      <c r="E22" s="1">
        <v>9.5300000000000003E-3</v>
      </c>
      <c r="F22">
        <f t="shared" si="2"/>
        <v>7.8499999999999924E-4</v>
      </c>
      <c r="G22">
        <f t="shared" si="3"/>
        <v>-8922.1231361950122</v>
      </c>
      <c r="H22">
        <f t="shared" si="3"/>
        <v>8765.0435035155224</v>
      </c>
      <c r="K22">
        <f t="shared" si="4"/>
        <v>61864513914394.258</v>
      </c>
      <c r="L22">
        <f t="shared" si="5"/>
        <v>12545317356.043226</v>
      </c>
      <c r="M22">
        <f t="shared" si="6"/>
        <v>93333524916.977142</v>
      </c>
      <c r="O22">
        <f t="shared" si="7"/>
        <v>299969887.44293529</v>
      </c>
      <c r="P22">
        <f t="shared" si="8"/>
        <v>7872127.5876771258</v>
      </c>
      <c r="Q22">
        <f t="shared" si="9"/>
        <v>8603958.1598471291</v>
      </c>
      <c r="R22" s="2">
        <f t="shared" si="10"/>
        <v>2.8682739568263838E-2</v>
      </c>
      <c r="S22" s="2">
        <f t="shared" si="14"/>
        <v>3.2818517579511611E-2</v>
      </c>
      <c r="U22">
        <v>10</v>
      </c>
      <c r="V22">
        <f t="shared" si="11"/>
        <v>7872127.5876771258</v>
      </c>
      <c r="W22">
        <f t="shared" si="12"/>
        <v>299969887.44293529</v>
      </c>
      <c r="X22">
        <f t="shared" si="13"/>
        <v>0.45364421304522334</v>
      </c>
      <c r="Y22">
        <f t="shared" si="0"/>
        <v>8.563656856523702E-2</v>
      </c>
      <c r="Z22">
        <f t="shared" si="0"/>
        <v>0.79460149236180833</v>
      </c>
      <c r="AA22">
        <f t="shared" si="0"/>
        <v>0.77364063249060155</v>
      </c>
      <c r="AB22">
        <f t="shared" si="0"/>
        <v>0.29579068733445818</v>
      </c>
      <c r="AC22">
        <f t="shared" si="0"/>
        <v>0.53869199345748475</v>
      </c>
      <c r="AD22">
        <f t="shared" si="0"/>
        <v>9.5734677393912258E-3</v>
      </c>
      <c r="AE22">
        <f t="shared" si="0"/>
        <v>0.22645407993640065</v>
      </c>
      <c r="AF22">
        <f t="shared" si="0"/>
        <v>0.51953946445374921</v>
      </c>
      <c r="AG22">
        <f t="shared" si="0"/>
        <v>0</v>
      </c>
      <c r="AH22">
        <f t="shared" si="1"/>
        <v>299711535.88531095</v>
      </c>
    </row>
    <row r="23" spans="1:34">
      <c r="D23" s="1"/>
      <c r="E23" s="1"/>
      <c r="Q23" s="2"/>
      <c r="R23" s="2"/>
      <c r="S23" s="2"/>
    </row>
    <row r="24" spans="1:34">
      <c r="C24" s="1"/>
      <c r="D24" s="1"/>
      <c r="E24" s="1"/>
      <c r="Q24" s="2"/>
      <c r="R24" s="2"/>
      <c r="S24" s="2"/>
    </row>
    <row r="25" spans="1:34">
      <c r="D25" s="1"/>
      <c r="E25" s="1"/>
      <c r="O25" t="s">
        <v>40</v>
      </c>
      <c r="P25" t="s">
        <v>63</v>
      </c>
      <c r="Q25" s="2" t="s">
        <v>61</v>
      </c>
      <c r="R25" s="2" t="s">
        <v>99</v>
      </c>
      <c r="S25" s="2"/>
    </row>
    <row r="26" spans="1:34">
      <c r="D26" s="1"/>
      <c r="O26">
        <f>AVERAGE(O13:O22)</f>
        <v>296087569.13065124</v>
      </c>
      <c r="P26">
        <f>_xlfn.STDEV.S(O13:O22)</f>
        <v>3472420.3748585372</v>
      </c>
      <c r="Q26" s="2">
        <f>P26/SQRT(COUNT(O13:O22))</f>
        <v>1098075.7378128662</v>
      </c>
      <c r="R26" s="2">
        <f>P26/O26</f>
        <v>1.1727680378659535E-2</v>
      </c>
      <c r="S26" s="2"/>
    </row>
    <row r="27" spans="1:34">
      <c r="B27" t="s">
        <v>44</v>
      </c>
      <c r="C27" t="s">
        <v>64</v>
      </c>
      <c r="D27" t="s">
        <v>39</v>
      </c>
      <c r="E27" t="s">
        <v>57</v>
      </c>
      <c r="Q27" s="2"/>
      <c r="R27" s="2"/>
      <c r="S27" s="2"/>
    </row>
    <row r="28" spans="1:34">
      <c r="B28">
        <f t="shared" ref="B28:B37" si="15">O13</f>
        <v>294961509.21564645</v>
      </c>
      <c r="C28">
        <f t="shared" ref="C28:C37" si="16">P13</f>
        <v>7740692.4201386422</v>
      </c>
      <c r="D28">
        <f>1/C28^2</f>
        <v>1.668938672345291E-14</v>
      </c>
      <c r="E28">
        <f>D28*B28</f>
        <v>4.9227266958332427E-6</v>
      </c>
      <c r="Q28" s="2"/>
      <c r="R28" s="2"/>
      <c r="S28" s="2"/>
    </row>
    <row r="29" spans="1:34">
      <c r="B29">
        <f t="shared" si="15"/>
        <v>300924786.85626167</v>
      </c>
      <c r="C29">
        <f t="shared" si="16"/>
        <v>7897187.0697444165</v>
      </c>
      <c r="D29">
        <f t="shared" ref="D29:D37" si="17">1/C29^2</f>
        <v>1.6034489901841985E-14</v>
      </c>
      <c r="E29">
        <f t="shared" ref="E29:E37" si="18">D29*B29</f>
        <v>4.8251754560606796E-6</v>
      </c>
      <c r="Q29" s="2"/>
      <c r="R29" s="2"/>
      <c r="S29" s="2"/>
    </row>
    <row r="30" spans="1:34">
      <c r="B30">
        <f t="shared" si="15"/>
        <v>291251301.55255669</v>
      </c>
      <c r="C30">
        <f t="shared" si="16"/>
        <v>7643325.2198853306</v>
      </c>
      <c r="D30">
        <f t="shared" si="17"/>
        <v>1.711730235529281E-14</v>
      </c>
      <c r="E30">
        <f t="shared" si="18"/>
        <v>4.9854365900476749E-6</v>
      </c>
      <c r="Q30" s="2"/>
      <c r="R30" s="2"/>
      <c r="S30" s="2"/>
    </row>
    <row r="31" spans="1:34">
      <c r="B31">
        <f t="shared" si="15"/>
        <v>291478081.88510293</v>
      </c>
      <c r="C31">
        <f t="shared" si="16"/>
        <v>7649276.6296331473</v>
      </c>
      <c r="D31">
        <f t="shared" si="17"/>
        <v>1.709067697488881E-14</v>
      </c>
      <c r="E31">
        <f t="shared" si="18"/>
        <v>4.9815577427584834E-6</v>
      </c>
      <c r="Q31" s="2"/>
      <c r="R31" s="2"/>
      <c r="S31" s="2"/>
    </row>
    <row r="32" spans="1:34">
      <c r="B32">
        <f t="shared" si="15"/>
        <v>296694815.44297379</v>
      </c>
      <c r="C32">
        <f t="shared" si="16"/>
        <v>7786179.6784976404</v>
      </c>
      <c r="D32">
        <f t="shared" si="17"/>
        <v>1.6494955829863537E-14</v>
      </c>
      <c r="E32">
        <f t="shared" si="18"/>
        <v>4.8939678756813665E-6</v>
      </c>
      <c r="Q32" s="2"/>
      <c r="R32" s="2"/>
      <c r="S32" s="2"/>
    </row>
    <row r="33" spans="2:21">
      <c r="B33">
        <f t="shared" si="15"/>
        <v>294031762.40643191</v>
      </c>
      <c r="C33">
        <f t="shared" si="16"/>
        <v>7716293.0193562405</v>
      </c>
      <c r="D33">
        <f t="shared" si="17"/>
        <v>1.6795099362365665E-14</v>
      </c>
      <c r="E33">
        <f t="shared" si="18"/>
        <v>4.9382926653075176E-6</v>
      </c>
      <c r="Q33" s="2"/>
      <c r="R33" s="2"/>
      <c r="S33" s="2"/>
    </row>
    <row r="34" spans="2:21">
      <c r="B34">
        <f t="shared" si="15"/>
        <v>299863326.2040568</v>
      </c>
      <c r="C34">
        <f t="shared" si="16"/>
        <v>7869331.0947507741</v>
      </c>
      <c r="D34">
        <f t="shared" si="17"/>
        <v>1.6148209069263392E-14</v>
      </c>
      <c r="E34">
        <f t="shared" si="18"/>
        <v>4.8422556837478366E-6</v>
      </c>
      <c r="Q34" s="2"/>
      <c r="R34" s="2"/>
      <c r="S34" s="2"/>
    </row>
    <row r="35" spans="2:21">
      <c r="B35">
        <f t="shared" si="15"/>
        <v>297459331.46281648</v>
      </c>
      <c r="C35">
        <f t="shared" si="16"/>
        <v>7806242.9178525228</v>
      </c>
      <c r="D35">
        <f t="shared" si="17"/>
        <v>1.641027566699348E-14</v>
      </c>
      <c r="E35">
        <f t="shared" si="18"/>
        <v>4.8813896290244055E-6</v>
      </c>
      <c r="Q35" s="2"/>
      <c r="R35" s="2"/>
      <c r="S35" s="2"/>
    </row>
    <row r="36" spans="2:21">
      <c r="B36">
        <f t="shared" si="15"/>
        <v>294240888.83773029</v>
      </c>
      <c r="C36">
        <f t="shared" si="16"/>
        <v>7721781.1367241852</v>
      </c>
      <c r="D36">
        <f t="shared" si="17"/>
        <v>1.6771234215308697E-14</v>
      </c>
      <c r="E36">
        <f t="shared" si="18"/>
        <v>4.9347828624181849E-6</v>
      </c>
      <c r="Q36" s="2"/>
      <c r="R36" s="2"/>
      <c r="S36" s="2"/>
    </row>
    <row r="37" spans="2:21">
      <c r="B37">
        <f t="shared" si="15"/>
        <v>299969887.44293529</v>
      </c>
      <c r="C37">
        <f t="shared" si="16"/>
        <v>7872127.5876771258</v>
      </c>
      <c r="D37">
        <f t="shared" si="17"/>
        <v>1.613673813439583E-14</v>
      </c>
      <c r="E37">
        <f t="shared" si="18"/>
        <v>4.8405355218708389E-6</v>
      </c>
      <c r="Q37" s="2"/>
      <c r="R37" s="2"/>
      <c r="S37" s="2"/>
    </row>
    <row r="38" spans="2:21">
      <c r="D38">
        <f>SUM(D28:D37)</f>
        <v>1.6568836823366713E-13</v>
      </c>
      <c r="E38">
        <f>SUM(E28:E37)</f>
        <v>4.9046120722750235E-5</v>
      </c>
      <c r="Q38" s="2"/>
      <c r="R38" s="2"/>
      <c r="S38" s="2"/>
    </row>
    <row r="39" spans="2:21">
      <c r="Q39" s="2"/>
      <c r="R39" s="2"/>
      <c r="S39" s="2"/>
    </row>
    <row r="40" spans="2:21">
      <c r="Q40" s="2"/>
      <c r="R40" s="2"/>
      <c r="S40" s="2"/>
    </row>
    <row r="41" spans="2:21">
      <c r="Q41" s="2"/>
      <c r="R41" s="2"/>
      <c r="S41" s="2"/>
    </row>
    <row r="42" spans="2:21">
      <c r="B42" t="s">
        <v>47</v>
      </c>
      <c r="C42" t="s">
        <v>48</v>
      </c>
      <c r="D42" t="s">
        <v>97</v>
      </c>
      <c r="E42" t="s">
        <v>49</v>
      </c>
      <c r="F42" t="s">
        <v>98</v>
      </c>
      <c r="G42" t="s">
        <v>52</v>
      </c>
      <c r="H42" t="s">
        <v>53</v>
      </c>
      <c r="S42" s="2"/>
      <c r="T42" s="2"/>
      <c r="U42" s="2"/>
    </row>
    <row r="43" spans="2:21">
      <c r="B43">
        <f>E38/D38</f>
        <v>296014266.09248412</v>
      </c>
      <c r="C43">
        <f>1/D38^(0.5)</f>
        <v>2456710.5427471148</v>
      </c>
      <c r="D43">
        <f>C43/B43</f>
        <v>8.2992977844505694E-3</v>
      </c>
      <c r="E43" s="2">
        <f>Q26</f>
        <v>1098075.7378128662</v>
      </c>
      <c r="F43" s="2">
        <f>E43/B43</f>
        <v>3.70953654466705E-3</v>
      </c>
      <c r="G43">
        <f>SQRT(E43^2+C43^2)</f>
        <v>2690947.2341200029</v>
      </c>
      <c r="H43">
        <f>G43/B43</f>
        <v>9.090599820210243E-3</v>
      </c>
    </row>
    <row r="45" spans="2:21">
      <c r="B45" t="s">
        <v>36</v>
      </c>
    </row>
    <row r="46" spans="2:21">
      <c r="B46">
        <f>ABS(B10-B43)/G43</f>
        <v>1.3739659202332584</v>
      </c>
    </row>
  </sheetData>
  <conditionalFormatting sqref="X13:AG22">
    <cfRule type="cellIs" dxfId="0" priority="1" operator="greaterThan">
      <formula>1.96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Misura di c</vt:lpstr>
      <vt:lpstr>Misura di c (2)</vt:lpstr>
      <vt:lpstr>Misura di c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2016-12-03T22:19:09Z</dcterms:created>
  <dcterms:modified xsi:type="dcterms:W3CDTF">2016-12-06T22:49:21Z</dcterms:modified>
</cp:coreProperties>
</file>