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VelLuce\Data\Analyzed\"/>
    </mc:Choice>
  </mc:AlternateContent>
  <bookViews>
    <workbookView xWindow="0" yWindow="0" windowWidth="28800" windowHeight="12210" activeTab="1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2" l="1"/>
  <c r="G31" i="2"/>
  <c r="F31" i="2"/>
  <c r="O36" i="1"/>
  <c r="P36" i="1"/>
  <c r="T36" i="1"/>
  <c r="T10" i="2"/>
  <c r="U11" i="2"/>
  <c r="T11" i="2"/>
  <c r="U10" i="2"/>
  <c r="S11" i="2"/>
  <c r="S10" i="2"/>
  <c r="R10" i="2"/>
  <c r="R11" i="2"/>
  <c r="Q10" i="2"/>
  <c r="Q11" i="2"/>
  <c r="O10" i="2"/>
  <c r="O11" i="2"/>
  <c r="P10" i="2"/>
  <c r="P11" i="2"/>
  <c r="P9" i="2"/>
  <c r="I25" i="4"/>
  <c r="F25" i="4"/>
  <c r="I14" i="4"/>
  <c r="I15" i="4"/>
  <c r="I16" i="4"/>
  <c r="I17" i="4"/>
  <c r="I18" i="4"/>
  <c r="I19" i="4"/>
  <c r="I20" i="4"/>
  <c r="I21" i="4"/>
  <c r="I22" i="4"/>
  <c r="I13" i="4"/>
  <c r="I25" i="3"/>
  <c r="F25" i="3"/>
  <c r="I14" i="3"/>
  <c r="I15" i="3"/>
  <c r="I16" i="3"/>
  <c r="I17" i="3"/>
  <c r="I18" i="3"/>
  <c r="I19" i="3"/>
  <c r="I20" i="3"/>
  <c r="I21" i="3"/>
  <c r="I22" i="3"/>
  <c r="I13" i="3"/>
  <c r="I36" i="1"/>
  <c r="F36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3" i="1"/>
  <c r="D3" i="2" l="1"/>
  <c r="D4" i="2"/>
  <c r="D5" i="2"/>
  <c r="B6" i="2"/>
  <c r="C6" i="2"/>
  <c r="B7" i="2"/>
  <c r="C7" i="2"/>
  <c r="B8" i="2"/>
  <c r="C8" i="2" s="1"/>
  <c r="D6" i="2" l="1"/>
  <c r="D7" i="2"/>
  <c r="B10" i="1" l="1"/>
  <c r="AQ13" i="1" l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B10" i="3" l="1"/>
  <c r="AH21" i="3" s="1"/>
  <c r="B10" i="4"/>
  <c r="AH15" i="4" s="1"/>
  <c r="B18" i="2"/>
  <c r="C3" i="3"/>
  <c r="C3" i="1" l="1"/>
  <c r="C3" i="4"/>
  <c r="AH19" i="3"/>
  <c r="AH15" i="3"/>
  <c r="AH18" i="3"/>
  <c r="AH20" i="3"/>
  <c r="AH14" i="3"/>
  <c r="AH22" i="4"/>
  <c r="AH21" i="4"/>
  <c r="AH20" i="4"/>
  <c r="AH18" i="4"/>
  <c r="AH14" i="4"/>
  <c r="AH17" i="4"/>
  <c r="AH13" i="4"/>
  <c r="AH19" i="4"/>
  <c r="AH16" i="4"/>
  <c r="AH12" i="4"/>
  <c r="AH13" i="3"/>
  <c r="AH22" i="3"/>
  <c r="AH17" i="3"/>
  <c r="AH16" i="3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H22" i="3" l="1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4" i="4"/>
  <c r="B9" i="1"/>
  <c r="B3" i="4"/>
  <c r="F13" i="1"/>
  <c r="B6" i="4" l="1"/>
  <c r="B2" i="4"/>
  <c r="B4" i="1"/>
  <c r="B4" i="3"/>
  <c r="B5" i="4"/>
  <c r="B2" i="1"/>
  <c r="C4" i="4"/>
  <c r="C5" i="4" s="1"/>
  <c r="C4" i="1"/>
  <c r="C5" i="1" s="1"/>
  <c r="C4" i="3"/>
  <c r="C5" i="3" s="1"/>
  <c r="B3" i="1"/>
  <c r="B2" i="3"/>
  <c r="B3" i="3"/>
  <c r="C6" i="4"/>
  <c r="K25" i="4" l="1"/>
  <c r="B6" i="1"/>
  <c r="C6" i="3"/>
  <c r="L25" i="4"/>
  <c r="O16" i="4"/>
  <c r="K14" i="4"/>
  <c r="C2" i="4"/>
  <c r="M13" i="4" s="1"/>
  <c r="C2" i="1"/>
  <c r="C2" i="3"/>
  <c r="O17" i="4"/>
  <c r="B6" i="3"/>
  <c r="K16" i="4"/>
  <c r="O22" i="4"/>
  <c r="O18" i="4"/>
  <c r="O15" i="4"/>
  <c r="K13" i="4"/>
  <c r="O19" i="4"/>
  <c r="K22" i="4"/>
  <c r="O20" i="4"/>
  <c r="K15" i="4"/>
  <c r="B5" i="3"/>
  <c r="K13" i="3" s="1"/>
  <c r="L15" i="4"/>
  <c r="O13" i="4"/>
  <c r="K18" i="4"/>
  <c r="O21" i="4"/>
  <c r="K17" i="4"/>
  <c r="K19" i="4"/>
  <c r="K21" i="4"/>
  <c r="K20" i="4"/>
  <c r="L13" i="4"/>
  <c r="L20" i="4"/>
  <c r="O14" i="4"/>
  <c r="L14" i="4"/>
  <c r="L16" i="4"/>
  <c r="L22" i="4"/>
  <c r="L17" i="4"/>
  <c r="L19" i="4"/>
  <c r="L18" i="4"/>
  <c r="L21" i="4"/>
  <c r="B5" i="1"/>
  <c r="K36" i="1" s="1"/>
  <c r="C6" i="1"/>
  <c r="T25" i="4" l="1"/>
  <c r="O25" i="4"/>
  <c r="O24" i="2" s="1"/>
  <c r="P25" i="4"/>
  <c r="M36" i="1"/>
  <c r="M25" i="4"/>
  <c r="Q25" i="4" s="1"/>
  <c r="P24" i="2" s="1"/>
  <c r="Q24" i="2" s="1"/>
  <c r="K25" i="3"/>
  <c r="C24" i="2"/>
  <c r="L36" i="1"/>
  <c r="Q36" i="1" s="1"/>
  <c r="P22" i="2" s="1"/>
  <c r="L25" i="3"/>
  <c r="M25" i="3"/>
  <c r="W16" i="4"/>
  <c r="W13" i="4"/>
  <c r="M22" i="4"/>
  <c r="P22" i="4" s="1"/>
  <c r="M16" i="4"/>
  <c r="P16" i="4" s="1"/>
  <c r="Q16" i="4" s="1"/>
  <c r="V16" i="4" s="1"/>
  <c r="M17" i="4"/>
  <c r="P17" i="4" s="1"/>
  <c r="Q17" i="4" s="1"/>
  <c r="V17" i="4" s="1"/>
  <c r="M21" i="4"/>
  <c r="P21" i="4" s="1"/>
  <c r="Q21" i="4" s="1"/>
  <c r="V21" i="4" s="1"/>
  <c r="M15" i="4"/>
  <c r="P15" i="4" s="1"/>
  <c r="Q15" i="4" s="1"/>
  <c r="V15" i="4" s="1"/>
  <c r="M14" i="4"/>
  <c r="P14" i="4" s="1"/>
  <c r="Q14" i="4" s="1"/>
  <c r="V14" i="4" s="1"/>
  <c r="M19" i="4"/>
  <c r="P19" i="4" s="1"/>
  <c r="Q19" i="4" s="1"/>
  <c r="V19" i="4" s="1"/>
  <c r="M28" i="1"/>
  <c r="M18" i="4"/>
  <c r="P18" i="4" s="1"/>
  <c r="Q18" i="4" s="1"/>
  <c r="V18" i="4" s="1"/>
  <c r="M20" i="4"/>
  <c r="P20" i="4" s="1"/>
  <c r="Q20" i="4" s="1"/>
  <c r="V20" i="4" s="1"/>
  <c r="W17" i="4"/>
  <c r="W22" i="4"/>
  <c r="L19" i="3"/>
  <c r="L14" i="3"/>
  <c r="M15" i="3"/>
  <c r="L18" i="3"/>
  <c r="L17" i="3"/>
  <c r="K14" i="3"/>
  <c r="K20" i="3"/>
  <c r="O22" i="3"/>
  <c r="M20" i="3"/>
  <c r="M18" i="3"/>
  <c r="L22" i="3"/>
  <c r="M19" i="3"/>
  <c r="K19" i="3"/>
  <c r="M14" i="3"/>
  <c r="L13" i="3"/>
  <c r="P13" i="3" s="1"/>
  <c r="K22" i="3"/>
  <c r="O20" i="3"/>
  <c r="L21" i="3"/>
  <c r="M22" i="3"/>
  <c r="O14" i="3"/>
  <c r="L16" i="3"/>
  <c r="O18" i="3"/>
  <c r="K21" i="3"/>
  <c r="M13" i="3"/>
  <c r="M16" i="3"/>
  <c r="K15" i="3"/>
  <c r="K17" i="3"/>
  <c r="O19" i="3"/>
  <c r="O21" i="3"/>
  <c r="L20" i="3"/>
  <c r="K16" i="3"/>
  <c r="K18" i="3"/>
  <c r="M21" i="3"/>
  <c r="O15" i="3"/>
  <c r="L15" i="3"/>
  <c r="W15" i="4"/>
  <c r="O16" i="3"/>
  <c r="O17" i="3"/>
  <c r="O13" i="3"/>
  <c r="M17" i="3"/>
  <c r="W18" i="4"/>
  <c r="W19" i="4"/>
  <c r="P13" i="4"/>
  <c r="Q13" i="4" s="1"/>
  <c r="V13" i="4" s="1"/>
  <c r="W20" i="4"/>
  <c r="W21" i="4"/>
  <c r="K20" i="1"/>
  <c r="K32" i="1"/>
  <c r="M16" i="1"/>
  <c r="M14" i="1"/>
  <c r="W14" i="4"/>
  <c r="O26" i="1"/>
  <c r="L18" i="1"/>
  <c r="M25" i="1"/>
  <c r="L28" i="1"/>
  <c r="L15" i="1"/>
  <c r="K26" i="1"/>
  <c r="M18" i="1"/>
  <c r="K24" i="1"/>
  <c r="O28" i="1"/>
  <c r="K13" i="1"/>
  <c r="L17" i="1"/>
  <c r="O22" i="1"/>
  <c r="O24" i="1"/>
  <c r="K28" i="1"/>
  <c r="K16" i="1"/>
  <c r="O32" i="1"/>
  <c r="M29" i="1"/>
  <c r="M22" i="1"/>
  <c r="M17" i="1"/>
  <c r="K19" i="1"/>
  <c r="L13" i="1"/>
  <c r="M21" i="1"/>
  <c r="O25" i="1"/>
  <c r="L23" i="1"/>
  <c r="K18" i="1"/>
  <c r="O27" i="1"/>
  <c r="K17" i="1"/>
  <c r="L14" i="1"/>
  <c r="M15" i="1"/>
  <c r="M26" i="1"/>
  <c r="M31" i="1"/>
  <c r="K14" i="1"/>
  <c r="L32" i="1"/>
  <c r="L25" i="1"/>
  <c r="K30" i="1"/>
  <c r="L27" i="1"/>
  <c r="O17" i="1"/>
  <c r="O30" i="1"/>
  <c r="O19" i="1"/>
  <c r="K23" i="1"/>
  <c r="K22" i="1"/>
  <c r="M13" i="1"/>
  <c r="O21" i="1"/>
  <c r="L30" i="1"/>
  <c r="L20" i="1"/>
  <c r="M24" i="1"/>
  <c r="O18" i="1"/>
  <c r="K21" i="1"/>
  <c r="K27" i="1"/>
  <c r="M19" i="1"/>
  <c r="K25" i="1"/>
  <c r="L29" i="1"/>
  <c r="M30" i="1"/>
  <c r="K31" i="1"/>
  <c r="O31" i="1"/>
  <c r="O20" i="1"/>
  <c r="M20" i="1"/>
  <c r="K15" i="1"/>
  <c r="L19" i="1"/>
  <c r="O23" i="1"/>
  <c r="M27" i="1"/>
  <c r="O16" i="1"/>
  <c r="L16" i="1"/>
  <c r="L22" i="1"/>
  <c r="M23" i="1"/>
  <c r="O14" i="1"/>
  <c r="O29" i="1"/>
  <c r="O13" i="1"/>
  <c r="O15" i="1"/>
  <c r="L21" i="1"/>
  <c r="L24" i="1"/>
  <c r="K29" i="1"/>
  <c r="L26" i="1"/>
  <c r="L31" i="1"/>
  <c r="M32" i="1"/>
  <c r="O25" i="3" l="1"/>
  <c r="O23" i="2" s="1"/>
  <c r="T25" i="3"/>
  <c r="Q13" i="3" s="1"/>
  <c r="P25" i="3"/>
  <c r="R24" i="2"/>
  <c r="S24" i="2" s="1"/>
  <c r="R25" i="4"/>
  <c r="R22" i="2"/>
  <c r="R9" i="2" s="1"/>
  <c r="R36" i="1"/>
  <c r="Q25" i="3"/>
  <c r="P23" i="2" s="1"/>
  <c r="Q22" i="4"/>
  <c r="V22" i="4" s="1"/>
  <c r="P17" i="3"/>
  <c r="C23" i="2"/>
  <c r="S17" i="4"/>
  <c r="T17" i="4" s="1"/>
  <c r="S16" i="4"/>
  <c r="T16" i="4" s="1"/>
  <c r="S13" i="4"/>
  <c r="T13" i="4" s="1"/>
  <c r="W16" i="3"/>
  <c r="W26" i="1"/>
  <c r="W15" i="3"/>
  <c r="W18" i="3"/>
  <c r="S15" i="4"/>
  <c r="T15" i="4" s="1"/>
  <c r="W21" i="3"/>
  <c r="P15" i="3"/>
  <c r="P16" i="3"/>
  <c r="P20" i="3"/>
  <c r="Q20" i="3" s="1"/>
  <c r="W13" i="3"/>
  <c r="P14" i="3"/>
  <c r="W22" i="3"/>
  <c r="W17" i="3"/>
  <c r="S14" i="4"/>
  <c r="T14" i="4" s="1"/>
  <c r="P18" i="3"/>
  <c r="P22" i="3"/>
  <c r="P21" i="3"/>
  <c r="Q21" i="3" s="1"/>
  <c r="W20" i="3"/>
  <c r="P19" i="3"/>
  <c r="W14" i="3"/>
  <c r="W19" i="3"/>
  <c r="P17" i="1"/>
  <c r="S18" i="4"/>
  <c r="T18" i="4" s="1"/>
  <c r="R15" i="4"/>
  <c r="S21" i="4"/>
  <c r="T21" i="4" s="1"/>
  <c r="S22" i="4"/>
  <c r="T22" i="4" s="1"/>
  <c r="S19" i="4"/>
  <c r="T19" i="4" s="1"/>
  <c r="S20" i="4"/>
  <c r="T20" i="4" s="1"/>
  <c r="W21" i="1"/>
  <c r="P19" i="1"/>
  <c r="R14" i="4"/>
  <c r="R20" i="4"/>
  <c r="R21" i="4"/>
  <c r="R18" i="4"/>
  <c r="R13" i="4"/>
  <c r="R17" i="4"/>
  <c r="R19" i="4"/>
  <c r="R16" i="4"/>
  <c r="P22" i="1"/>
  <c r="Q22" i="1" s="1"/>
  <c r="P14" i="1"/>
  <c r="Q14" i="1" s="1"/>
  <c r="R14" i="1" s="1"/>
  <c r="W25" i="1"/>
  <c r="P18" i="1"/>
  <c r="P30" i="1"/>
  <c r="Q30" i="1" s="1"/>
  <c r="P20" i="1"/>
  <c r="Q20" i="1" s="1"/>
  <c r="P28" i="1"/>
  <c r="Q28" i="1" s="1"/>
  <c r="W24" i="1"/>
  <c r="P31" i="1"/>
  <c r="Q31" i="1" s="1"/>
  <c r="P26" i="1"/>
  <c r="Q26" i="1" s="1"/>
  <c r="P23" i="1"/>
  <c r="Q23" i="1" s="1"/>
  <c r="W31" i="1"/>
  <c r="P21" i="1"/>
  <c r="Q21" i="1" s="1"/>
  <c r="P13" i="1"/>
  <c r="Q13" i="1" s="1"/>
  <c r="P24" i="1"/>
  <c r="Q24" i="1" s="1"/>
  <c r="W30" i="1"/>
  <c r="W17" i="1"/>
  <c r="P16" i="1"/>
  <c r="Q16" i="1" s="1"/>
  <c r="W18" i="1"/>
  <c r="W23" i="1"/>
  <c r="W29" i="1"/>
  <c r="P32" i="1"/>
  <c r="Q32" i="1" s="1"/>
  <c r="W20" i="1"/>
  <c r="W16" i="1"/>
  <c r="P27" i="1"/>
  <c r="Q27" i="1" s="1"/>
  <c r="P15" i="1"/>
  <c r="Q15" i="1" s="1"/>
  <c r="P25" i="1"/>
  <c r="Q25" i="1" s="1"/>
  <c r="P29" i="1"/>
  <c r="Q29" i="1" s="1"/>
  <c r="W19" i="1"/>
  <c r="W27" i="1"/>
  <c r="W22" i="1"/>
  <c r="W14" i="1"/>
  <c r="W28" i="1"/>
  <c r="W13" i="1"/>
  <c r="W15" i="1"/>
  <c r="C22" i="2" l="1"/>
  <c r="O22" i="2"/>
  <c r="Q23" i="2"/>
  <c r="Q14" i="3"/>
  <c r="Q17" i="3"/>
  <c r="S17" i="3" s="1"/>
  <c r="T17" i="3" s="1"/>
  <c r="S22" i="2"/>
  <c r="S9" i="2" s="1"/>
  <c r="Q19" i="3"/>
  <c r="S19" i="3" s="1"/>
  <c r="T19" i="3" s="1"/>
  <c r="Q18" i="1"/>
  <c r="S18" i="1" s="1"/>
  <c r="T18" i="1" s="1"/>
  <c r="S25" i="4"/>
  <c r="T24" i="2"/>
  <c r="U24" i="2" s="1"/>
  <c r="Q22" i="3"/>
  <c r="Q16" i="3"/>
  <c r="R25" i="3"/>
  <c r="S25" i="3" s="1"/>
  <c r="R23" i="2"/>
  <c r="S23" i="2" s="1"/>
  <c r="Q19" i="1"/>
  <c r="S19" i="1" s="1"/>
  <c r="T19" i="1" s="1"/>
  <c r="Q17" i="1"/>
  <c r="S17" i="1" s="1"/>
  <c r="T17" i="1" s="1"/>
  <c r="R22" i="4"/>
  <c r="B22" i="2"/>
  <c r="T22" i="2"/>
  <c r="Q18" i="3"/>
  <c r="V18" i="3" s="1"/>
  <c r="Q15" i="3"/>
  <c r="V15" i="3" s="1"/>
  <c r="B24" i="2"/>
  <c r="S36" i="1"/>
  <c r="S30" i="1"/>
  <c r="T30" i="1" s="1"/>
  <c r="V16" i="3"/>
  <c r="S13" i="1"/>
  <c r="T13" i="1" s="1"/>
  <c r="S9" i="4"/>
  <c r="T9" i="4" s="1"/>
  <c r="S16" i="1"/>
  <c r="T16" i="1" s="1"/>
  <c r="S23" i="1"/>
  <c r="T23" i="1" s="1"/>
  <c r="S20" i="1"/>
  <c r="T20" i="1" s="1"/>
  <c r="S21" i="1"/>
  <c r="T21" i="1" s="1"/>
  <c r="S29" i="1"/>
  <c r="T29" i="1" s="1"/>
  <c r="S32" i="1"/>
  <c r="T32" i="1" s="1"/>
  <c r="S26" i="1"/>
  <c r="T26" i="1" s="1"/>
  <c r="V14" i="3"/>
  <c r="S25" i="1"/>
  <c r="T25" i="1" s="1"/>
  <c r="S31" i="1"/>
  <c r="T31" i="1" s="1"/>
  <c r="S14" i="1"/>
  <c r="T14" i="1" s="1"/>
  <c r="R22" i="3"/>
  <c r="S22" i="1"/>
  <c r="T22" i="1" s="1"/>
  <c r="S13" i="3"/>
  <c r="T13" i="3" s="1"/>
  <c r="S15" i="1"/>
  <c r="T15" i="1" s="1"/>
  <c r="S27" i="1"/>
  <c r="T27" i="1" s="1"/>
  <c r="S24" i="1"/>
  <c r="T24" i="1" s="1"/>
  <c r="S28" i="1"/>
  <c r="T28" i="1" s="1"/>
  <c r="R20" i="3"/>
  <c r="X10" i="4" a="1"/>
  <c r="X10" i="4" s="1"/>
  <c r="U22" i="2" l="1"/>
  <c r="U9" i="2" s="1"/>
  <c r="T9" i="2"/>
  <c r="Q22" i="2"/>
  <c r="Q9" i="2" s="1"/>
  <c r="O9" i="2"/>
  <c r="T23" i="2"/>
  <c r="U23" i="2" s="1"/>
  <c r="B23" i="2"/>
  <c r="S15" i="3"/>
  <c r="T15" i="3" s="1"/>
  <c r="V21" i="3"/>
  <c r="R21" i="3"/>
  <c r="V13" i="1"/>
  <c r="R32" i="1"/>
  <c r="V31" i="1"/>
  <c r="V23" i="1"/>
  <c r="R13" i="3"/>
  <c r="V17" i="1"/>
  <c r="R17" i="3"/>
  <c r="V13" i="3"/>
  <c r="V24" i="1"/>
  <c r="S16" i="3"/>
  <c r="T16" i="3" s="1"/>
  <c r="S10" i="1"/>
  <c r="T10" i="1" s="1"/>
  <c r="R16" i="3"/>
  <c r="R19" i="3"/>
  <c r="R15" i="3"/>
  <c r="V19" i="3"/>
  <c r="V20" i="3"/>
  <c r="S21" i="3"/>
  <c r="T21" i="3" s="1"/>
  <c r="S20" i="3"/>
  <c r="T20" i="3" s="1"/>
  <c r="V17" i="3"/>
  <c r="S18" i="3"/>
  <c r="T18" i="3" s="1"/>
  <c r="R18" i="3"/>
  <c r="S14" i="3"/>
  <c r="T14" i="3" s="1"/>
  <c r="R14" i="3"/>
  <c r="S22" i="3"/>
  <c r="T22" i="3" s="1"/>
  <c r="V22" i="3"/>
  <c r="AF12" i="4"/>
  <c r="X11" i="4"/>
  <c r="AE12" i="4"/>
  <c r="AD11" i="4"/>
  <c r="AE10" i="4"/>
  <c r="Y10" i="4"/>
  <c r="AB10" i="4"/>
  <c r="AG12" i="4"/>
  <c r="Z10" i="4"/>
  <c r="X12" i="4"/>
  <c r="X21" i="4" s="1"/>
  <c r="Y12" i="4"/>
  <c r="AA12" i="4"/>
  <c r="Z11" i="4"/>
  <c r="AD10" i="4"/>
  <c r="AE11" i="4"/>
  <c r="AC12" i="4"/>
  <c r="AA11" i="4"/>
  <c r="Y11" i="4"/>
  <c r="AC11" i="4"/>
  <c r="AD12" i="4"/>
  <c r="AD16" i="4" s="1"/>
  <c r="AC10" i="4"/>
  <c r="AF11" i="4"/>
  <c r="AG11" i="4"/>
  <c r="AA10" i="4"/>
  <c r="AB11" i="4"/>
  <c r="AG10" i="4"/>
  <c r="AB12" i="4"/>
  <c r="AF10" i="4"/>
  <c r="Z12" i="4"/>
  <c r="Z18" i="4" s="1"/>
  <c r="R23" i="1"/>
  <c r="R24" i="1"/>
  <c r="R17" i="1"/>
  <c r="R13" i="1"/>
  <c r="R31" i="1"/>
  <c r="V14" i="1"/>
  <c r="V27" i="1"/>
  <c r="R27" i="1"/>
  <c r="V15" i="1"/>
  <c r="R15" i="1"/>
  <c r="V16" i="1"/>
  <c r="R16" i="1"/>
  <c r="V21" i="1"/>
  <c r="R21" i="1"/>
  <c r="V22" i="1"/>
  <c r="R22" i="1"/>
  <c r="V20" i="1"/>
  <c r="R20" i="1"/>
  <c r="V18" i="1"/>
  <c r="R18" i="1"/>
  <c r="V19" i="1"/>
  <c r="R19" i="1"/>
  <c r="V28" i="1"/>
  <c r="R28" i="1"/>
  <c r="V29" i="1"/>
  <c r="R29" i="1"/>
  <c r="V26" i="1"/>
  <c r="R26" i="1"/>
  <c r="V25" i="1"/>
  <c r="R25" i="1"/>
  <c r="V30" i="1"/>
  <c r="R30" i="1"/>
  <c r="B29" i="2" l="1"/>
  <c r="C29" i="2" s="1"/>
  <c r="AF17" i="4"/>
  <c r="AA13" i="4"/>
  <c r="AD18" i="4"/>
  <c r="AA14" i="4"/>
  <c r="AD17" i="4"/>
  <c r="AD22" i="4"/>
  <c r="AA20" i="4"/>
  <c r="AA16" i="4"/>
  <c r="AB16" i="4"/>
  <c r="S10" i="3"/>
  <c r="T10" i="3" s="1"/>
  <c r="AD14" i="4"/>
  <c r="AA18" i="4"/>
  <c r="X10" i="3" a="1"/>
  <c r="AF10" i="3" s="1"/>
  <c r="AD19" i="4"/>
  <c r="AD13" i="4"/>
  <c r="AD15" i="4"/>
  <c r="AA19" i="4"/>
  <c r="AD20" i="4"/>
  <c r="AA15" i="4"/>
  <c r="AD21" i="4"/>
  <c r="AA21" i="4"/>
  <c r="AA17" i="4"/>
  <c r="AB18" i="4"/>
  <c r="AE14" i="4"/>
  <c r="AE19" i="4"/>
  <c r="AE20" i="4"/>
  <c r="AB19" i="4"/>
  <c r="AB20" i="4"/>
  <c r="AE21" i="4"/>
  <c r="AE15" i="4"/>
  <c r="AE17" i="4"/>
  <c r="AE13" i="4"/>
  <c r="X22" i="4"/>
  <c r="X16" i="4"/>
  <c r="AE16" i="4"/>
  <c r="AB17" i="4"/>
  <c r="Y22" i="4"/>
  <c r="AC18" i="4"/>
  <c r="AG22" i="4"/>
  <c r="AF16" i="4"/>
  <c r="AF20" i="4"/>
  <c r="AG17" i="4"/>
  <c r="AF18" i="4"/>
  <c r="AC22" i="4"/>
  <c r="Z22" i="4"/>
  <c r="AC17" i="4"/>
  <c r="AC15" i="4"/>
  <c r="AE18" i="4"/>
  <c r="AC21" i="4"/>
  <c r="AC14" i="4"/>
  <c r="Z17" i="4"/>
  <c r="AC13" i="4"/>
  <c r="AG14" i="4"/>
  <c r="AG15" i="4"/>
  <c r="AB13" i="4"/>
  <c r="Y13" i="4"/>
  <c r="AG21" i="4"/>
  <c r="AG20" i="4"/>
  <c r="X17" i="4"/>
  <c r="X20" i="4"/>
  <c r="X18" i="4"/>
  <c r="AF22" i="4"/>
  <c r="X14" i="4"/>
  <c r="AB14" i="4"/>
  <c r="AC19" i="4"/>
  <c r="AC16" i="4"/>
  <c r="AG13" i="4"/>
  <c r="AC20" i="4"/>
  <c r="AG18" i="4"/>
  <c r="AG19" i="4"/>
  <c r="X15" i="4"/>
  <c r="AG16" i="4"/>
  <c r="AF21" i="4"/>
  <c r="AF13" i="4"/>
  <c r="AF14" i="4"/>
  <c r="X13" i="4"/>
  <c r="X19" i="4"/>
  <c r="Y19" i="4"/>
  <c r="AF15" i="4"/>
  <c r="AE22" i="4"/>
  <c r="AA22" i="4"/>
  <c r="AF19" i="4"/>
  <c r="Y17" i="4"/>
  <c r="AB22" i="4"/>
  <c r="AB21" i="4"/>
  <c r="Y15" i="4"/>
  <c r="Y14" i="4"/>
  <c r="Y20" i="4"/>
  <c r="Y18" i="4"/>
  <c r="Y16" i="4"/>
  <c r="Y21" i="4"/>
  <c r="Z20" i="4"/>
  <c r="Z16" i="4"/>
  <c r="Z15" i="4"/>
  <c r="Z14" i="4"/>
  <c r="Z21" i="4"/>
  <c r="Z19" i="4"/>
  <c r="B46" i="4"/>
  <c r="AB15" i="4"/>
  <c r="Z13" i="4"/>
  <c r="A29" i="2"/>
  <c r="X10" i="1" a="1"/>
  <c r="AP10" i="1" s="1"/>
  <c r="D29" i="2" l="1"/>
  <c r="B27" i="2"/>
  <c r="C27" i="2" s="1"/>
  <c r="A27" i="2"/>
  <c r="B28" i="2"/>
  <c r="C28" i="2" s="1"/>
  <c r="AA10" i="3"/>
  <c r="X12" i="3"/>
  <c r="AG12" i="3"/>
  <c r="AB12" i="3"/>
  <c r="X10" i="3"/>
  <c r="AD12" i="3"/>
  <c r="Z10" i="3"/>
  <c r="X11" i="3"/>
  <c r="AB10" i="3"/>
  <c r="AF12" i="3"/>
  <c r="AE12" i="3"/>
  <c r="AA11" i="3"/>
  <c r="AE11" i="3"/>
  <c r="Z12" i="3"/>
  <c r="AC10" i="3"/>
  <c r="AD11" i="3"/>
  <c r="AD10" i="3"/>
  <c r="Y10" i="3"/>
  <c r="AC12" i="3"/>
  <c r="AG11" i="3"/>
  <c r="Z11" i="3"/>
  <c r="Y12" i="3"/>
  <c r="AA12" i="3"/>
  <c r="AG10" i="3"/>
  <c r="AF11" i="3"/>
  <c r="AB11" i="3"/>
  <c r="AE10" i="3"/>
  <c r="Y11" i="3"/>
  <c r="AC11" i="3"/>
  <c r="AA10" i="1"/>
  <c r="AM10" i="1"/>
  <c r="AD10" i="1"/>
  <c r="AJ10" i="1"/>
  <c r="AB10" i="1"/>
  <c r="AK10" i="1"/>
  <c r="AE10" i="1"/>
  <c r="AB11" i="1"/>
  <c r="AL10" i="1"/>
  <c r="AA11" i="1"/>
  <c r="Z10" i="1"/>
  <c r="Y10" i="1"/>
  <c r="AH10" i="1"/>
  <c r="AG10" i="1"/>
  <c r="X11" i="1"/>
  <c r="AI10" i="1"/>
  <c r="AA12" i="1"/>
  <c r="AN12" i="1"/>
  <c r="AJ11" i="1"/>
  <c r="AK11" i="1"/>
  <c r="AP12" i="1"/>
  <c r="AD12" i="1"/>
  <c r="AH12" i="1"/>
  <c r="AM12" i="1"/>
  <c r="AI11" i="1"/>
  <c r="AE11" i="1"/>
  <c r="AJ12" i="1"/>
  <c r="AJ16" i="1" s="1"/>
  <c r="X12" i="1"/>
  <c r="AL12" i="1"/>
  <c r="AO12" i="1"/>
  <c r="Y12" i="1"/>
  <c r="AL11" i="1"/>
  <c r="AG11" i="1"/>
  <c r="AI12" i="1"/>
  <c r="AE12" i="1"/>
  <c r="AH11" i="1"/>
  <c r="AC11" i="1"/>
  <c r="AN11" i="1"/>
  <c r="AF10" i="1"/>
  <c r="AB12" i="1"/>
  <c r="AB18" i="1" s="1"/>
  <c r="Z12" i="1"/>
  <c r="AK12" i="1"/>
  <c r="AF11" i="1"/>
  <c r="Y11" i="1"/>
  <c r="AO10" i="1"/>
  <c r="AN10" i="1"/>
  <c r="AF12" i="1"/>
  <c r="AP11" i="1"/>
  <c r="AG12" i="1"/>
  <c r="AG30" i="1" s="1"/>
  <c r="AC12" i="1"/>
  <c r="AD11" i="1"/>
  <c r="AM11" i="1"/>
  <c r="Z11" i="1"/>
  <c r="AC10" i="1"/>
  <c r="X10" i="1"/>
  <c r="AO11" i="1"/>
  <c r="A28" i="2"/>
  <c r="D27" i="2" l="1"/>
  <c r="D28" i="2"/>
  <c r="D19" i="2" a="1"/>
  <c r="F20" i="2" s="1"/>
  <c r="C30" i="2"/>
  <c r="G28" i="2" s="1"/>
  <c r="Z14" i="3"/>
  <c r="AE18" i="3"/>
  <c r="X18" i="3"/>
  <c r="AG17" i="3"/>
  <c r="AB14" i="3"/>
  <c r="AG15" i="3"/>
  <c r="AF19" i="3"/>
  <c r="AE15" i="3"/>
  <c r="AA21" i="3"/>
  <c r="AG14" i="3"/>
  <c r="AB16" i="3"/>
  <c r="AA15" i="3"/>
  <c r="AC20" i="3"/>
  <c r="AG18" i="3"/>
  <c r="AG13" i="3"/>
  <c r="AG16" i="3"/>
  <c r="AC18" i="3"/>
  <c r="AE17" i="3"/>
  <c r="AG22" i="3"/>
  <c r="AB21" i="3"/>
  <c r="AB17" i="3"/>
  <c r="AF22" i="3"/>
  <c r="AF14" i="3"/>
  <c r="AF17" i="3"/>
  <c r="Y14" i="3"/>
  <c r="AC17" i="3"/>
  <c r="AC13" i="3"/>
  <c r="AB20" i="3"/>
  <c r="AC14" i="3"/>
  <c r="AG21" i="3"/>
  <c r="AE13" i="3"/>
  <c r="AF16" i="3"/>
  <c r="X20" i="3"/>
  <c r="Z16" i="3"/>
  <c r="Y18" i="3"/>
  <c r="Y21" i="3"/>
  <c r="Y19" i="3"/>
  <c r="AB22" i="3"/>
  <c r="AF13" i="3"/>
  <c r="X16" i="3"/>
  <c r="X19" i="3"/>
  <c r="Z20" i="3"/>
  <c r="X15" i="3"/>
  <c r="X17" i="3"/>
  <c r="X13" i="3"/>
  <c r="X22" i="3"/>
  <c r="AC16" i="3"/>
  <c r="X14" i="3"/>
  <c r="Z18" i="3"/>
  <c r="Y15" i="3"/>
  <c r="AE19" i="3"/>
  <c r="AF15" i="3"/>
  <c r="AG20" i="3"/>
  <c r="X21" i="3"/>
  <c r="AB13" i="3"/>
  <c r="AB18" i="3"/>
  <c r="AF18" i="3"/>
  <c r="AB19" i="3"/>
  <c r="AF20" i="3"/>
  <c r="AB15" i="3"/>
  <c r="AD22" i="3"/>
  <c r="Y22" i="3"/>
  <c r="AC21" i="3"/>
  <c r="AF21" i="3"/>
  <c r="AG19" i="3"/>
  <c r="AA14" i="3"/>
  <c r="Y17" i="3"/>
  <c r="AE20" i="3"/>
  <c r="AD18" i="3"/>
  <c r="AA17" i="3"/>
  <c r="AA20" i="3"/>
  <c r="Z19" i="3"/>
  <c r="AE22" i="3"/>
  <c r="Z21" i="3"/>
  <c r="Z15" i="3"/>
  <c r="AA22" i="3"/>
  <c r="Y20" i="3"/>
  <c r="AC15" i="3"/>
  <c r="AE14" i="3"/>
  <c r="AE16" i="3"/>
  <c r="Z22" i="3"/>
  <c r="Y13" i="3"/>
  <c r="AC19" i="3"/>
  <c r="Z13" i="3"/>
  <c r="AA13" i="3"/>
  <c r="AA18" i="3"/>
  <c r="Y16" i="3"/>
  <c r="AC22" i="3"/>
  <c r="AE21" i="3"/>
  <c r="Z17" i="3"/>
  <c r="AA16" i="3"/>
  <c r="AA19" i="3"/>
  <c r="AD14" i="3"/>
  <c r="AD21" i="3"/>
  <c r="AD20" i="3"/>
  <c r="AD17" i="3"/>
  <c r="AD16" i="3"/>
  <c r="AD13" i="3"/>
  <c r="AD19" i="3"/>
  <c r="AD15" i="3"/>
  <c r="Z22" i="1"/>
  <c r="AC30" i="1"/>
  <c r="Z18" i="1"/>
  <c r="AK25" i="1"/>
  <c r="AA22" i="1"/>
  <c r="AN15" i="1"/>
  <c r="AJ22" i="1"/>
  <c r="AJ23" i="1"/>
  <c r="AD21" i="1"/>
  <c r="Z19" i="1"/>
  <c r="AA13" i="1"/>
  <c r="AD29" i="1"/>
  <c r="AK31" i="1"/>
  <c r="AI31" i="1"/>
  <c r="AA15" i="1"/>
  <c r="Y19" i="1"/>
  <c r="AH13" i="1"/>
  <c r="X16" i="1"/>
  <c r="AD23" i="1"/>
  <c r="AG28" i="1"/>
  <c r="AG25" i="1"/>
  <c r="AG14" i="1"/>
  <c r="AG22" i="1"/>
  <c r="AI26" i="1"/>
  <c r="AN18" i="1"/>
  <c r="AK15" i="1"/>
  <c r="Z24" i="1"/>
  <c r="AK13" i="1"/>
  <c r="AE18" i="1"/>
  <c r="AN17" i="1"/>
  <c r="AJ28" i="1"/>
  <c r="AJ14" i="1"/>
  <c r="AJ15" i="1"/>
  <c r="AE30" i="1"/>
  <c r="AG31" i="1"/>
  <c r="AN16" i="1"/>
  <c r="AJ20" i="1"/>
  <c r="AJ26" i="1"/>
  <c r="AJ18" i="1"/>
  <c r="AF14" i="1"/>
  <c r="AK30" i="1"/>
  <c r="AD19" i="1"/>
  <c r="AN22" i="1"/>
  <c r="AD25" i="1"/>
  <c r="AK22" i="1"/>
  <c r="AD31" i="1"/>
  <c r="AI27" i="1"/>
  <c r="AN14" i="1"/>
  <c r="AJ17" i="1"/>
  <c r="AJ13" i="1"/>
  <c r="AJ24" i="1"/>
  <c r="AJ27" i="1"/>
  <c r="AJ21" i="1"/>
  <c r="AK18" i="1"/>
  <c r="AD15" i="1"/>
  <c r="AI29" i="1"/>
  <c r="AJ30" i="1"/>
  <c r="AJ31" i="1"/>
  <c r="AD13" i="1"/>
  <c r="AN28" i="1"/>
  <c r="AJ19" i="1"/>
  <c r="AJ29" i="1"/>
  <c r="AE15" i="1"/>
  <c r="AC26" i="1"/>
  <c r="AK24" i="1"/>
  <c r="AK23" i="1"/>
  <c r="AD30" i="1"/>
  <c r="AD16" i="1"/>
  <c r="AD17" i="1"/>
  <c r="AI20" i="1"/>
  <c r="AN29" i="1"/>
  <c r="AN30" i="1"/>
  <c r="AA17" i="1"/>
  <c r="AO14" i="1"/>
  <c r="AK16" i="1"/>
  <c r="AK14" i="1"/>
  <c r="AK26" i="1"/>
  <c r="AD14" i="1"/>
  <c r="AD28" i="1"/>
  <c r="AN20" i="1"/>
  <c r="AN21" i="1"/>
  <c r="AN25" i="1"/>
  <c r="AE26" i="1"/>
  <c r="AC18" i="1"/>
  <c r="AK29" i="1"/>
  <c r="AK27" i="1"/>
  <c r="AK28" i="1"/>
  <c r="AD22" i="1"/>
  <c r="AD20" i="1"/>
  <c r="AN23" i="1"/>
  <c r="AN13" i="1"/>
  <c r="AN27" i="1"/>
  <c r="AK21" i="1"/>
  <c r="AK19" i="1"/>
  <c r="AK20" i="1"/>
  <c r="AD27" i="1"/>
  <c r="AD18" i="1"/>
  <c r="AN31" i="1"/>
  <c r="AN26" i="1"/>
  <c r="AN19" i="1"/>
  <c r="AE24" i="1"/>
  <c r="AE17" i="1"/>
  <c r="AK17" i="1"/>
  <c r="AD26" i="1"/>
  <c r="AD24" i="1"/>
  <c r="AN24" i="1"/>
  <c r="AI16" i="1"/>
  <c r="AA18" i="1"/>
  <c r="AC17" i="1"/>
  <c r="Z23" i="1"/>
  <c r="AG13" i="1"/>
  <c r="AG27" i="1"/>
  <c r="AI19" i="1"/>
  <c r="AI25" i="1"/>
  <c r="AI18" i="1"/>
  <c r="AA27" i="1"/>
  <c r="AA16" i="1"/>
  <c r="AP17" i="1"/>
  <c r="AL14" i="1"/>
  <c r="AC27" i="1"/>
  <c r="Z28" i="1"/>
  <c r="AG26" i="1"/>
  <c r="AG19" i="1"/>
  <c r="AI14" i="1"/>
  <c r="AI17" i="1"/>
  <c r="AA14" i="1"/>
  <c r="AA29" i="1"/>
  <c r="AC19" i="1"/>
  <c r="Z16" i="1"/>
  <c r="AG18" i="1"/>
  <c r="AG17" i="1"/>
  <c r="AI23" i="1"/>
  <c r="AI24" i="1"/>
  <c r="AA23" i="1"/>
  <c r="AA21" i="1"/>
  <c r="AE19" i="1"/>
  <c r="AC28" i="1"/>
  <c r="Z21" i="1"/>
  <c r="AG29" i="1"/>
  <c r="AG23" i="1"/>
  <c r="AG24" i="1"/>
  <c r="AI22" i="1"/>
  <c r="AI21" i="1"/>
  <c r="AA31" i="1"/>
  <c r="AA28" i="1"/>
  <c r="AA24" i="1"/>
  <c r="AE21" i="1"/>
  <c r="AC20" i="1"/>
  <c r="AG20" i="1"/>
  <c r="AG15" i="1"/>
  <c r="AG16" i="1"/>
  <c r="AI15" i="1"/>
  <c r="AI13" i="1"/>
  <c r="AA30" i="1"/>
  <c r="AA20" i="1"/>
  <c r="AA26" i="1"/>
  <c r="AC16" i="1"/>
  <c r="AG21" i="1"/>
  <c r="AI30" i="1"/>
  <c r="AI28" i="1"/>
  <c r="AA19" i="1"/>
  <c r="AA25" i="1"/>
  <c r="AE25" i="1"/>
  <c r="Y25" i="1"/>
  <c r="AE27" i="1"/>
  <c r="AE20" i="1"/>
  <c r="AF13" i="1"/>
  <c r="AE23" i="1"/>
  <c r="AE28" i="1"/>
  <c r="AE16" i="1"/>
  <c r="AE22" i="1"/>
  <c r="AE29" i="1"/>
  <c r="AE14" i="1"/>
  <c r="AF16" i="1"/>
  <c r="AH19" i="1"/>
  <c r="AM14" i="1"/>
  <c r="AF27" i="1"/>
  <c r="Y23" i="1"/>
  <c r="Y24" i="1"/>
  <c r="X18" i="1"/>
  <c r="AH31" i="1"/>
  <c r="AJ25" i="1"/>
  <c r="AE31" i="1"/>
  <c r="AE13" i="1"/>
  <c r="X20" i="1"/>
  <c r="AM18" i="1"/>
  <c r="AO25" i="1"/>
  <c r="AL17" i="1"/>
  <c r="AP16" i="1"/>
  <c r="AM28" i="1"/>
  <c r="AO23" i="1"/>
  <c r="AO24" i="1"/>
  <c r="X31" i="1"/>
  <c r="AB30" i="1"/>
  <c r="AP30" i="1"/>
  <c r="X29" i="1"/>
  <c r="AB29" i="1"/>
  <c r="AP14" i="1"/>
  <c r="AP23" i="1"/>
  <c r="AP19" i="1"/>
  <c r="AL29" i="1"/>
  <c r="AL20" i="1"/>
  <c r="AL16" i="1"/>
  <c r="AM26" i="1"/>
  <c r="AM25" i="1"/>
  <c r="AB24" i="1"/>
  <c r="AB22" i="1"/>
  <c r="AB31" i="1"/>
  <c r="AO13" i="1"/>
  <c r="AO15" i="1"/>
  <c r="AO16" i="1"/>
  <c r="AC21" i="1"/>
  <c r="AC13" i="1"/>
  <c r="Z25" i="1"/>
  <c r="Z15" i="1"/>
  <c r="Z29" i="1"/>
  <c r="AM19" i="1"/>
  <c r="AM17" i="1"/>
  <c r="AB27" i="1"/>
  <c r="AB14" i="1"/>
  <c r="AB23" i="1"/>
  <c r="AO29" i="1"/>
  <c r="AO17" i="1"/>
  <c r="AP22" i="1"/>
  <c r="AP15" i="1"/>
  <c r="AP29" i="1"/>
  <c r="AL21" i="1"/>
  <c r="AL31" i="1"/>
  <c r="AM24" i="1"/>
  <c r="AM15" i="1"/>
  <c r="AB28" i="1"/>
  <c r="AB15" i="1"/>
  <c r="AP28" i="1"/>
  <c r="AC29" i="1"/>
  <c r="AC31" i="1"/>
  <c r="Z26" i="1"/>
  <c r="Z20" i="1"/>
  <c r="Z13" i="1"/>
  <c r="AM16" i="1"/>
  <c r="AM20" i="1"/>
  <c r="AB19" i="1"/>
  <c r="AB21" i="1"/>
  <c r="AO20" i="1"/>
  <c r="AO27" i="1"/>
  <c r="AP31" i="1"/>
  <c r="AP20" i="1"/>
  <c r="AP13" i="1"/>
  <c r="AL13" i="1"/>
  <c r="AL25" i="1"/>
  <c r="X17" i="1"/>
  <c r="X19" i="1"/>
  <c r="AP21" i="1"/>
  <c r="AC24" i="1"/>
  <c r="AC23" i="1"/>
  <c r="Z30" i="1"/>
  <c r="Z14" i="1"/>
  <c r="AM23" i="1"/>
  <c r="AM29" i="1"/>
  <c r="AM30" i="1"/>
  <c r="AB20" i="1"/>
  <c r="AB13" i="1"/>
  <c r="AO26" i="1"/>
  <c r="AO19" i="1"/>
  <c r="AP25" i="1"/>
  <c r="AP27" i="1"/>
  <c r="AL27" i="1"/>
  <c r="X30" i="1"/>
  <c r="AO22" i="1"/>
  <c r="AL28" i="1"/>
  <c r="AC22" i="1"/>
  <c r="AC15" i="1"/>
  <c r="Z17" i="1"/>
  <c r="Z27" i="1"/>
  <c r="AM31" i="1"/>
  <c r="AM21" i="1"/>
  <c r="AM22" i="1"/>
  <c r="AB25" i="1"/>
  <c r="AB26" i="1"/>
  <c r="AO18" i="1"/>
  <c r="AO30" i="1"/>
  <c r="AP18" i="1"/>
  <c r="AP24" i="1"/>
  <c r="AL19" i="1"/>
  <c r="X22" i="1"/>
  <c r="AB16" i="1"/>
  <c r="AO28" i="1"/>
  <c r="AL15" i="1"/>
  <c r="AC25" i="1"/>
  <c r="AC14" i="1"/>
  <c r="Z31" i="1"/>
  <c r="AM27" i="1"/>
  <c r="AM13" i="1"/>
  <c r="AB17" i="1"/>
  <c r="AO21" i="1"/>
  <c r="AO31" i="1"/>
  <c r="AP26" i="1"/>
  <c r="AL24" i="1"/>
  <c r="X28" i="1"/>
  <c r="X14" i="1"/>
  <c r="AF31" i="1"/>
  <c r="AF21" i="1"/>
  <c r="AF17" i="1"/>
  <c r="AH17" i="1"/>
  <c r="AH14" i="1"/>
  <c r="Y13" i="1"/>
  <c r="Y31" i="1"/>
  <c r="Y30" i="1"/>
  <c r="AF28" i="1"/>
  <c r="AF26" i="1"/>
  <c r="AF19" i="1"/>
  <c r="AH26" i="1"/>
  <c r="AH24" i="1"/>
  <c r="Y28" i="1"/>
  <c r="Y15" i="1"/>
  <c r="Y16" i="1"/>
  <c r="AF23" i="1"/>
  <c r="AF18" i="1"/>
  <c r="AH18" i="1"/>
  <c r="AH16" i="1"/>
  <c r="Y21" i="1"/>
  <c r="Y17" i="1"/>
  <c r="AF24" i="1"/>
  <c r="AF25" i="1"/>
  <c r="AH23" i="1"/>
  <c r="AH27" i="1"/>
  <c r="Y29" i="1"/>
  <c r="Y22" i="1"/>
  <c r="AF15" i="1"/>
  <c r="AF30" i="1"/>
  <c r="AH30" i="1"/>
  <c r="AH15" i="1"/>
  <c r="AH29" i="1"/>
  <c r="Y20" i="1"/>
  <c r="Y14" i="1"/>
  <c r="AL22" i="1"/>
  <c r="AL18" i="1"/>
  <c r="X23" i="1"/>
  <c r="X21" i="1"/>
  <c r="X25" i="1"/>
  <c r="AF20" i="1"/>
  <c r="AF22" i="1"/>
  <c r="AH25" i="1"/>
  <c r="AH28" i="1"/>
  <c r="AH21" i="1"/>
  <c r="Y26" i="1"/>
  <c r="Y27" i="1"/>
  <c r="AL30" i="1"/>
  <c r="AL23" i="1"/>
  <c r="X15" i="1"/>
  <c r="X13" i="1"/>
  <c r="X27" i="1"/>
  <c r="AF29" i="1"/>
  <c r="AH22" i="1"/>
  <c r="AH20" i="1"/>
  <c r="Y18" i="1"/>
  <c r="AL26" i="1"/>
  <c r="X24" i="1"/>
  <c r="X26" i="1"/>
  <c r="D30" i="2" l="1"/>
  <c r="F28" i="2" s="1"/>
  <c r="I28" i="2" s="1"/>
  <c r="D19" i="2"/>
  <c r="D21" i="2"/>
  <c r="F19" i="2"/>
  <c r="E21" i="2"/>
  <c r="F21" i="2"/>
  <c r="F23" i="2" s="1"/>
  <c r="D20" i="2"/>
  <c r="D22" i="2" s="1"/>
  <c r="E19" i="2"/>
  <c r="E20" i="2"/>
  <c r="AP32" i="1"/>
  <c r="AF32" i="1"/>
  <c r="AM32" i="1"/>
  <c r="AK32" i="1"/>
  <c r="AN32" i="1"/>
  <c r="AD32" i="1"/>
  <c r="AA32" i="1"/>
  <c r="AJ32" i="1"/>
  <c r="Y32" i="1"/>
  <c r="AO32" i="1"/>
  <c r="AI32" i="1"/>
  <c r="AH32" i="1"/>
  <c r="AL32" i="1"/>
  <c r="AE32" i="1"/>
  <c r="AG32" i="1"/>
  <c r="X32" i="1"/>
  <c r="Z32" i="1"/>
  <c r="AB32" i="1"/>
  <c r="AC32" i="1"/>
  <c r="H28" i="2" l="1"/>
  <c r="F22" i="2"/>
  <c r="F24" i="2"/>
  <c r="D23" i="2"/>
  <c r="D24" i="2"/>
  <c r="E23" i="2"/>
  <c r="E22" i="2"/>
  <c r="E24" i="2"/>
  <c r="AQ34" i="1"/>
  <c r="AR34" i="1" s="1"/>
</calcChain>
</file>

<file path=xl/sharedStrings.xml><?xml version="1.0" encoding="utf-8"?>
<sst xmlns="http://schemas.openxmlformats.org/spreadsheetml/2006/main" count="181" uniqueCount="86">
  <si>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</si>
  <si>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</si>
  <si>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</si>
  <si>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</si>
  <si>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</si>
  <si>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</si>
  <si>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</si>
  <si>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</si>
  <si>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</si>
  <si>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</si>
  <si>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</si>
  <si>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</si>
  <si>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</si>
  <si>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</si>
  <si>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</si>
  <si>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</si>
  <si>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</si>
  <si>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</si>
  <si>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</si>
  <si>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</si>
  <si>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</si>
  <si>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</si>
  <si>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</si>
  <si>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</si>
  <si>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</si>
  <si>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</si>
  <si>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</si>
  <si>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</si>
  <si>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</si>
  <si>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</si>
  <si>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</si>
  <si>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</si>
  <si>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</si>
  <si>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</si>
  <si>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</si>
  <si>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</si>
  <si>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</si>
  <si>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</si>
  <si>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</si>
  <si>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</si>
  <si>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errore sistematico</t>
  </si>
  <si>
    <t>Errore totale</t>
  </si>
  <si>
    <t>C</t>
  </si>
  <si>
    <t>Errore strumentale</t>
  </si>
  <si>
    <t>errore strum</t>
  </si>
  <si>
    <t>Error</t>
  </si>
  <si>
    <t>p*c</t>
  </si>
  <si>
    <t>error</t>
  </si>
  <si>
    <t>C 1</t>
  </si>
  <si>
    <t>C 2</t>
  </si>
  <si>
    <t>C 3</t>
  </si>
  <si>
    <t>measure</t>
  </si>
  <si>
    <t>C vero</t>
  </si>
  <si>
    <t>Hz iniziali</t>
  </si>
  <si>
    <t>clock to counter</t>
  </si>
  <si>
    <t>chi^2</t>
  </si>
  <si>
    <t>\chi^2</t>
  </si>
  <si>
    <t>\chi_{rid}^2</t>
  </si>
  <si>
    <t>abs(z)</t>
  </si>
  <si>
    <t>z^2</t>
  </si>
  <si>
    <t>Set</t>
  </si>
  <si>
    <t>$c$</t>
  </si>
  <si>
    <t>C medio</t>
  </si>
  <si>
    <t>Errore Casuale</t>
  </si>
  <si>
    <t>Delta omega</t>
  </si>
  <si>
    <t>Media</t>
  </si>
  <si>
    <t>Delta</t>
  </si>
  <si>
    <t>Errore totale relativo</t>
  </si>
  <si>
    <t>delta omega</t>
  </si>
  <si>
    <t>media</t>
  </si>
  <si>
    <t>dev std</t>
  </si>
  <si>
    <t>$ \sigma_{sist} $ (\si{\meter\per\second})</t>
  </si>
  <si>
    <t>$ \sigma_{rand} $ (\si{\meter\per\second})</t>
  </si>
  <si>
    <t>$ \sigma_{sist} $ rel.</t>
  </si>
  <si>
    <t>$ \sigma_{rand} $ rel.</t>
  </si>
  <si>
    <t>$ \sigma_c $ (\si{\meter\per\second})</t>
  </si>
  <si>
    <t>$ \sigma_c $ rel.</t>
  </si>
  <si>
    <t>err sist</t>
  </si>
  <si>
    <t>err sist rel</t>
  </si>
  <si>
    <t>err rand</t>
  </si>
  <si>
    <t>err rand rel</t>
  </si>
  <si>
    <t>err tot</t>
  </si>
  <si>
    <t>err tot rel</t>
  </si>
  <si>
    <t>$ c $ (\si{\meter\per\second})</t>
  </si>
  <si>
    <t>$\sigma_c$ (\si(\meter\per\second})</t>
  </si>
  <si>
    <t>$\sigma_c $ 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</si>
</sst>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E+00"/>
    <numFmt numFmtId="166" formatCode="0.000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3" borderId="0" xfId="0" applyFill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4" xfId="0" applyFill="1" applyBorder="1"/>
    <xf numFmtId="2" fontId="0" fillId="5" borderId="10" xfId="0" applyNumberFormat="1" applyFont="1" applyFill="1" applyBorder="1"/>
    <xf numFmtId="2" fontId="0" fillId="5" borderId="8" xfId="0" applyNumberFormat="1" applyFont="1" applyFill="1" applyBorder="1"/>
    <xf numFmtId="2" fontId="0" fillId="4" borderId="11" xfId="0" applyNumberFormat="1" applyFont="1" applyFill="1" applyBorder="1"/>
    <xf numFmtId="2" fontId="0" fillId="4" borderId="3" xfId="0" applyNumberFormat="1" applyFont="1" applyFill="1" applyBorder="1"/>
    <xf numFmtId="2" fontId="0" fillId="5" borderId="11" xfId="0" applyNumberFormat="1" applyFont="1" applyFill="1" applyBorder="1"/>
    <xf numFmtId="2" fontId="0" fillId="5" borderId="3" xfId="0" applyNumberFormat="1" applyFont="1" applyFill="1" applyBorder="1"/>
    <xf numFmtId="1" fontId="0" fillId="0" borderId="0" xfId="0" applyNumberFormat="1"/>
    <xf numFmtId="165" fontId="0" fillId="3" borderId="7" xfId="0" applyNumberFormat="1" applyFill="1" applyBorder="1"/>
    <xf numFmtId="165" fontId="0" fillId="3" borderId="9" xfId="0" applyNumberFormat="1" applyFill="1" applyBorder="1"/>
    <xf numFmtId="0" fontId="2" fillId="0" borderId="0" xfId="0" applyFont="1"/>
    <xf numFmtId="49" fontId="0" fillId="0" borderId="0" xfId="0" applyNumberFormat="1"/>
    <xf numFmtId="11" fontId="0" fillId="3" borderId="14" xfId="0" applyNumberFormat="1" applyFill="1" applyBorder="1" applyAlignment="1">
      <alignment horizontal="right"/>
    </xf>
    <xf numFmtId="0" fontId="0" fillId="0" borderId="0" xfId="0" applyBorder="1"/>
    <xf numFmtId="0" fontId="0" fillId="3" borderId="15" xfId="0" applyFill="1" applyBorder="1"/>
    <xf numFmtId="165" fontId="0" fillId="3" borderId="12" xfId="0" applyNumberFormat="1" applyFill="1" applyBorder="1" applyAlignment="1">
      <alignment horizontal="right"/>
    </xf>
    <xf numFmtId="164" fontId="0" fillId="4" borderId="0" xfId="0" applyNumberFormat="1" applyFont="1" applyFill="1" applyBorder="1"/>
    <xf numFmtId="164" fontId="0" fillId="5" borderId="0" xfId="0" applyNumberFormat="1" applyFont="1" applyFill="1" applyBorder="1"/>
    <xf numFmtId="2" fontId="0" fillId="0" borderId="0" xfId="0" applyNumberFormat="1"/>
    <xf numFmtId="166" fontId="0" fillId="0" borderId="0" xfId="0" applyNumberFormat="1"/>
    <xf numFmtId="0" fontId="0" fillId="2" borderId="0" xfId="0" applyFill="1"/>
    <xf numFmtId="164" fontId="0" fillId="5" borderId="3" xfId="0" applyNumberFormat="1" applyFont="1" applyFill="1" applyBorder="1"/>
    <xf numFmtId="0" fontId="0" fillId="0" borderId="0" xfId="0" applyNumberFormat="1"/>
    <xf numFmtId="2" fontId="0" fillId="4" borderId="10" xfId="0" applyNumberFormat="1" applyFont="1" applyFill="1" applyBorder="1"/>
    <xf numFmtId="2" fontId="0" fillId="4" borderId="8" xfId="0" applyNumberFormat="1" applyFont="1" applyFill="1" applyBorder="1"/>
    <xf numFmtId="0" fontId="0" fillId="3" borderId="0" xfId="0" applyFill="1" applyBorder="1"/>
    <xf numFmtId="2" fontId="0" fillId="5" borderId="0" xfId="0" applyNumberFormat="1" applyFont="1" applyFill="1" applyBorder="1"/>
    <xf numFmtId="2" fontId="0" fillId="4" borderId="0" xfId="0" applyNumberFormat="1" applyFont="1" applyFill="1" applyBorder="1"/>
  </cellXfs>
  <cellStyles count="1">
    <cellStyle name="Normal" xfId="0" builtinId="0"/>
  </cellStyles>
  <dxfs count="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18527175412665"/>
          <c:y val="3.1399912385928076E-2"/>
          <c:w val="0.76959858074276355"/>
          <c:h val="0.8418491828717861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c'!$V$13:$V$34</c:f>
                <c:numCache>
                  <c:formatCode>General</c:formatCode>
                  <c:ptCount val="2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</c:numCache>
              </c:numRef>
            </c:plus>
            <c:minus>
              <c:numRef>
                <c:f>'Misura di c'!$V$13:$V$34</c:f>
                <c:numCache>
                  <c:formatCode>General</c:formatCode>
                  <c:ptCount val="2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c'!$W$13:$W$31</c:f>
              <c:numCache>
                <c:formatCode>0.000E+00</c:formatCode>
                <c:ptCount val="19"/>
                <c:pt idx="0">
                  <c:v>311981759.35506576</c:v>
                </c:pt>
                <c:pt idx="1">
                  <c:v>283191189.13289255</c:v>
                </c:pt>
                <c:pt idx="2">
                  <c:v>311615583.58117723</c:v>
                </c:pt>
                <c:pt idx="3">
                  <c:v>303559716.55557692</c:v>
                </c:pt>
                <c:pt idx="4">
                  <c:v>286349455.18270081</c:v>
                </c:pt>
                <c:pt idx="5">
                  <c:v>300462067.44130909</c:v>
                </c:pt>
                <c:pt idx="6">
                  <c:v>284081982.12129939</c:v>
                </c:pt>
                <c:pt idx="7">
                  <c:v>303576360.90893263</c:v>
                </c:pt>
                <c:pt idx="8">
                  <c:v>283317519.77488542</c:v>
                </c:pt>
                <c:pt idx="9">
                  <c:v>293220069.0454452</c:v>
                </c:pt>
                <c:pt idx="10">
                  <c:v>288755753.12541312</c:v>
                </c:pt>
                <c:pt idx="11">
                  <c:v>308340344.71470666</c:v>
                </c:pt>
                <c:pt idx="12">
                  <c:v>306000888.3815161</c:v>
                </c:pt>
                <c:pt idx="13">
                  <c:v>300917312.99803823</c:v>
                </c:pt>
                <c:pt idx="14">
                  <c:v>299323953.54948729</c:v>
                </c:pt>
                <c:pt idx="15">
                  <c:v>295658028.80319279</c:v>
                </c:pt>
                <c:pt idx="16">
                  <c:v>298982519.38194001</c:v>
                </c:pt>
                <c:pt idx="17">
                  <c:v>289230680.35094941</c:v>
                </c:pt>
                <c:pt idx="18">
                  <c:v>292776803.63494575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ser>
          <c:idx val="1"/>
          <c:order val="1"/>
          <c:tx>
            <c:v>Velocità teorica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c'!$AQ$13:$AQ$31</c:f>
              <c:numCache>
                <c:formatCode>General</c:formatCode>
                <c:ptCount val="19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  <c:pt idx="11">
                  <c:v>299711535.88531095</c:v>
                </c:pt>
                <c:pt idx="12">
                  <c:v>299711535.88531095</c:v>
                </c:pt>
                <c:pt idx="13">
                  <c:v>299711535.88531095</c:v>
                </c:pt>
                <c:pt idx="14">
                  <c:v>299711535.88531095</c:v>
                </c:pt>
                <c:pt idx="15">
                  <c:v>299711535.88531095</c:v>
                </c:pt>
                <c:pt idx="16">
                  <c:v>299711535.88531095</c:v>
                </c:pt>
                <c:pt idx="17">
                  <c:v>299711535.88531095</c:v>
                </c:pt>
                <c:pt idx="18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1-4113-AC44-4631ED72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09439058916373"/>
          <c:y val="0.36333856815050919"/>
          <c:w val="0.10501892444055286"/>
          <c:h val="0.19910466420187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14909932411248"/>
          <c:y val="3.88845884816445E-2"/>
          <c:w val="0.67483563662877533"/>
          <c:h val="0.8041513821286209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(2)'!$V$13:$V$22</c:f>
                <c:numCache>
                  <c:formatCode>General</c:formatCode>
                  <c:ptCount val="10"/>
                  <c:pt idx="0">
                    <c:v>16573849.969675973</c:v>
                  </c:pt>
                  <c:pt idx="1">
                    <c:v>16181365.761970507</c:v>
                  </c:pt>
                  <c:pt idx="2">
                    <c:v>16500301.00669766</c:v>
                  </c:pt>
                  <c:pt idx="3">
                    <c:v>16176897.745812226</c:v>
                  </c:pt>
                  <c:pt idx="4">
                    <c:v>16193540.990870364</c:v>
                  </c:pt>
                  <c:pt idx="5">
                    <c:v>16524360.226296645</c:v>
                  </c:pt>
                  <c:pt idx="6">
                    <c:v>16513825.24788744</c:v>
                  </c:pt>
                  <c:pt idx="7">
                    <c:v>16372414.715980068</c:v>
                  </c:pt>
                  <c:pt idx="8">
                    <c:v>16634670.807724722</c:v>
                  </c:pt>
                  <c:pt idx="9">
                    <c:v>16433908.759756211</c:v>
                  </c:pt>
                </c:numCache>
              </c:numRef>
            </c:plus>
            <c:minus>
              <c:numRef>
                <c:f>'Misura di c (2)'!$V$13:$V$22</c:f>
                <c:numCache>
                  <c:formatCode>General</c:formatCode>
                  <c:ptCount val="10"/>
                  <c:pt idx="0">
                    <c:v>16573849.969675973</c:v>
                  </c:pt>
                  <c:pt idx="1">
                    <c:v>16181365.761970507</c:v>
                  </c:pt>
                  <c:pt idx="2">
                    <c:v>16500301.00669766</c:v>
                  </c:pt>
                  <c:pt idx="3">
                    <c:v>16176897.745812226</c:v>
                  </c:pt>
                  <c:pt idx="4">
                    <c:v>16193540.990870364</c:v>
                  </c:pt>
                  <c:pt idx="5">
                    <c:v>16524360.226296645</c:v>
                  </c:pt>
                  <c:pt idx="6">
                    <c:v>16513825.24788744</c:v>
                  </c:pt>
                  <c:pt idx="7">
                    <c:v>16372414.715980068</c:v>
                  </c:pt>
                  <c:pt idx="8">
                    <c:v>16634670.807724722</c:v>
                  </c:pt>
                  <c:pt idx="9">
                    <c:v>16433908.759756211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321641825.00914192</c:v>
                </c:pt>
                <c:pt idx="1">
                  <c:v>290743564.46939451</c:v>
                </c:pt>
                <c:pt idx="2">
                  <c:v>316027129.80948102</c:v>
                </c:pt>
                <c:pt idx="3">
                  <c:v>290377388.69550353</c:v>
                </c:pt>
                <c:pt idx="4">
                  <c:v>291739562.57437664</c:v>
                </c:pt>
                <c:pt idx="5">
                  <c:v>317871958.23222727</c:v>
                </c:pt>
                <c:pt idx="6">
                  <c:v>317065140.68672943</c:v>
                </c:pt>
                <c:pt idx="7">
                  <c:v>306081098.31293952</c:v>
                </c:pt>
                <c:pt idx="8">
                  <c:v>326230304.90970522</c:v>
                </c:pt>
                <c:pt idx="9">
                  <c:v>310893694.19836313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9-4EC9-9CD8-EBEE95229788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(2)'!$AH$13:$AH$22</c:f>
              <c:numCache>
                <c:formatCode>General</c:formatCode>
                <c:ptCount val="10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9-4EC9-9CD8-EBEE9522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28080"/>
        <c:axId val="398329392"/>
      </c:scatterChart>
      <c:valAx>
        <c:axId val="3983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9392"/>
        <c:crosses val="autoZero"/>
        <c:crossBetween val="midCat"/>
      </c:valAx>
      <c:valAx>
        <c:axId val="398329392"/>
        <c:scaling>
          <c:orientation val="minMax"/>
          <c:min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65607175451774"/>
          <c:y val="0.35117515238611369"/>
          <c:w val="0.13377717684256091"/>
          <c:h val="0.24977822980763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13392262185"/>
          <c:y val="3.6282331076141212E-2"/>
          <c:w val="0.73349208345459238"/>
          <c:h val="0.81725807905184944"/>
        </c:manualLayout>
      </c:layout>
      <c:scatterChart>
        <c:scatterStyle val="lineMarker"/>
        <c:varyColors val="0"/>
        <c:ser>
          <c:idx val="0"/>
          <c:order val="0"/>
          <c:tx>
            <c:v>Valori misurati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(3)'!$V$13:$V$22</c:f>
                <c:numCache>
                  <c:formatCode>General</c:formatCode>
                  <c:ptCount val="10"/>
                  <c:pt idx="0">
                    <c:v>8458624.017081853</c:v>
                  </c:pt>
                  <c:pt idx="1">
                    <c:v>8602071.3741364274</c:v>
                  </c:pt>
                  <c:pt idx="2">
                    <c:v>8369610.5291398279</c:v>
                  </c:pt>
                  <c:pt idx="3">
                    <c:v>8375045.9967730092</c:v>
                  </c:pt>
                  <c:pt idx="4">
                    <c:v>8500271.436644597</c:v>
                  </c:pt>
                  <c:pt idx="5">
                    <c:v>8436300.6540108398</c:v>
                  </c:pt>
                  <c:pt idx="6">
                    <c:v>8576504.4238007404</c:v>
                  </c:pt>
                  <c:pt idx="7">
                    <c:v>8518653.5081875604</c:v>
                  </c:pt>
                  <c:pt idx="8">
                    <c:v>8441320.80980343</c:v>
                  </c:pt>
                  <c:pt idx="9">
                    <c:v>8579070.475172447</c:v>
                  </c:pt>
                </c:numCache>
              </c:numRef>
            </c:plus>
            <c:minus>
              <c:numRef>
                <c:f>'Misura di c (3)'!$V$13:$V$22</c:f>
                <c:numCache>
                  <c:formatCode>General</c:formatCode>
                  <c:ptCount val="10"/>
                  <c:pt idx="0">
                    <c:v>8458624.017081853</c:v>
                  </c:pt>
                  <c:pt idx="1">
                    <c:v>8602071.3741364274</c:v>
                  </c:pt>
                  <c:pt idx="2">
                    <c:v>8369610.5291398279</c:v>
                  </c:pt>
                  <c:pt idx="3">
                    <c:v>8375045.9967730092</c:v>
                  </c:pt>
                  <c:pt idx="4">
                    <c:v>8500271.436644597</c:v>
                  </c:pt>
                  <c:pt idx="5">
                    <c:v>8436300.6540108398</c:v>
                  </c:pt>
                  <c:pt idx="6">
                    <c:v>8576504.4238007404</c:v>
                  </c:pt>
                  <c:pt idx="7">
                    <c:v>8518653.5081875604</c:v>
                  </c:pt>
                  <c:pt idx="8">
                    <c:v>8441320.80980343</c:v>
                  </c:pt>
                  <c:pt idx="9">
                    <c:v>8579070.475172447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(3)'!$W$13:$W$22</c:f>
              <c:numCache>
                <c:formatCode>General</c:formatCode>
                <c:ptCount val="10"/>
                <c:pt idx="0">
                  <c:v>296970884.95530957</c:v>
                </c:pt>
                <c:pt idx="1">
                  <c:v>302974786.42325675</c:v>
                </c:pt>
                <c:pt idx="2">
                  <c:v>293235402.12568319</c:v>
                </c:pt>
                <c:pt idx="3">
                  <c:v>293463727.36115474</c:v>
                </c:pt>
                <c:pt idx="4">
                  <c:v>298715999.04018366</c:v>
                </c:pt>
                <c:pt idx="5">
                  <c:v>296034804.40211803</c:v>
                </c:pt>
                <c:pt idx="6">
                  <c:v>301906094.74864209</c:v>
                </c:pt>
                <c:pt idx="7">
                  <c:v>299485723.19700319</c:v>
                </c:pt>
                <c:pt idx="8">
                  <c:v>296245355.47210461</c:v>
                </c:pt>
                <c:pt idx="9">
                  <c:v>302013381.91806239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C-4E48-8D26-300160021CAE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(3)'!$AH$12:$AH$22</c:f>
              <c:numCache>
                <c:formatCode>General</c:formatCode>
                <c:ptCount val="11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C-4E48-8D26-30016002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09480"/>
        <c:axId val="221508824"/>
      </c:scatterChart>
      <c:valAx>
        <c:axId val="2215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8824"/>
        <c:crosses val="autoZero"/>
        <c:crossBetween val="midCat"/>
      </c:valAx>
      <c:valAx>
        <c:axId val="22150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28117846126008"/>
          <c:y val="0.44433908630338104"/>
          <c:w val="0.10704709369076804"/>
          <c:h val="0.21357177343723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46059</xdr:colOff>
      <xdr:row>46</xdr:row>
      <xdr:rowOff>84843</xdr:rowOff>
    </xdr:from>
    <xdr:to>
      <xdr:col>53</xdr:col>
      <xdr:colOff>426943</xdr:colOff>
      <xdr:row>69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609535</xdr:colOff>
      <xdr:row>1</xdr:row>
      <xdr:rowOff>23532</xdr:rowOff>
    </xdr:from>
    <xdr:to>
      <xdr:col>46</xdr:col>
      <xdr:colOff>607440</xdr:colOff>
      <xdr:row>19</xdr:row>
      <xdr:rowOff>187215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2805D-7C9C-4664-BDB3-2CFE40DB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350129</xdr:colOff>
      <xdr:row>7</xdr:row>
      <xdr:rowOff>92914</xdr:rowOff>
    </xdr:from>
    <xdr:to>
      <xdr:col>46</xdr:col>
      <xdr:colOff>254503</xdr:colOff>
      <xdr:row>27</xdr:row>
      <xdr:rowOff>133273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F1D34-60DA-40A2-B882-122BDEEED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115" zoomScaleNormal="115" workbookViewId="0">
      <selection activeCell="H31" sqref="F30:H31"/>
    </sheetView>
  </sheetViews>
  <sheetFormatPr defaultRowHeight="15"/>
  <cols>
    <col min="1" max="1" width="12" bestFit="1" customWidth="1"/>
    <col min="2" max="3" width="11.7109375" bestFit="1" customWidth="1"/>
    <col min="4" max="4" width="12.7109375" customWidth="1"/>
    <col min="5" max="6" width="11.7109375" bestFit="1" customWidth="1"/>
    <col min="8" max="9" width="11.5703125" bestFit="1" customWidth="1"/>
    <col min="10" max="10" width="10.5703125" bestFit="1" customWidth="1"/>
    <col min="14" max="22" width="11" customWidth="1"/>
  </cols>
  <sheetData>
    <row r="1" spans="1:24">
      <c r="A1" t="s">
        <v>21</v>
      </c>
    </row>
    <row r="2" spans="1:24">
      <c r="B2" t="s">
        <v>26</v>
      </c>
      <c r="C2" t="s">
        <v>16</v>
      </c>
      <c r="D2" t="s">
        <v>27</v>
      </c>
    </row>
    <row r="3" spans="1:24">
      <c r="A3" t="s">
        <v>22</v>
      </c>
      <c r="B3">
        <v>6.32</v>
      </c>
      <c r="C3" s="1">
        <v>0.04</v>
      </c>
      <c r="D3" s="1">
        <f>C3/B3</f>
        <v>6.3291139240506328E-3</v>
      </c>
    </row>
    <row r="4" spans="1:24">
      <c r="A4" t="s">
        <v>23</v>
      </c>
      <c r="B4">
        <v>0.66</v>
      </c>
      <c r="C4" s="1">
        <v>0.02</v>
      </c>
      <c r="D4" s="1">
        <f t="shared" ref="D4:D7" si="0">C4/B4</f>
        <v>3.0303030303030304E-2</v>
      </c>
    </row>
    <row r="5" spans="1:24">
      <c r="A5" t="s">
        <v>24</v>
      </c>
      <c r="B5">
        <v>6.54</v>
      </c>
      <c r="C5" s="1">
        <v>0.04</v>
      </c>
      <c r="D5" s="1">
        <f t="shared" si="0"/>
        <v>6.1162079510703364E-3</v>
      </c>
    </row>
    <row r="6" spans="1:24">
      <c r="A6" t="s">
        <v>2</v>
      </c>
      <c r="B6">
        <f>(B5+B4+B3)</f>
        <v>13.52</v>
      </c>
      <c r="C6" s="1">
        <f>SQRT(3)*2*(C5+C4+C3)</f>
        <v>0.34641016151377546</v>
      </c>
      <c r="D6" s="1">
        <f t="shared" si="0"/>
        <v>2.562205336640351E-2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>
      <c r="A7" t="s">
        <v>3</v>
      </c>
      <c r="B7" s="1">
        <f>B15-B16</f>
        <v>0.47799999999999998</v>
      </c>
      <c r="C7" s="1">
        <f>SQRT(C15^2+C16^2)</f>
        <v>5.0990195135927853E-3</v>
      </c>
      <c r="D7" s="1">
        <f t="shared" si="0"/>
        <v>1.0667404840152271E-2</v>
      </c>
      <c r="L7" s="3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t="s">
        <v>25</v>
      </c>
      <c r="B8" s="1">
        <f>B13</f>
        <v>0.252</v>
      </c>
      <c r="C8" s="1">
        <f>B8*D8</f>
        <v>2.52E-4</v>
      </c>
      <c r="D8" s="1">
        <v>1E-3</v>
      </c>
      <c r="L8" s="35"/>
      <c r="M8" s="4"/>
      <c r="N8" s="40" t="s">
        <v>60</v>
      </c>
      <c r="O8" s="40" t="s">
        <v>83</v>
      </c>
      <c r="P8" s="40" t="s">
        <v>71</v>
      </c>
      <c r="Q8" s="40" t="s">
        <v>73</v>
      </c>
      <c r="R8" s="40" t="s">
        <v>72</v>
      </c>
      <c r="S8" s="40" t="s">
        <v>74</v>
      </c>
      <c r="T8" s="40" t="s">
        <v>75</v>
      </c>
      <c r="U8" s="40" t="s">
        <v>76</v>
      </c>
      <c r="V8" s="4"/>
      <c r="W8" s="4"/>
      <c r="X8" s="4"/>
    </row>
    <row r="9" spans="1:24">
      <c r="L9" s="35"/>
      <c r="M9" s="4"/>
      <c r="N9" s="40">
        <v>1</v>
      </c>
      <c r="O9" s="41" t="str">
        <f>"\num{" &amp; TEXT(O22/100000000,"0.000") &amp;"E+08}"</f>
        <v>\num{2.984E+08}</v>
      </c>
      <c r="P9" s="41" t="str">
        <f>"\num{" &amp; TEXT(P22/100000000,"0.000") &amp;"E+08}"</f>
        <v>\num{0.078E+08}</v>
      </c>
      <c r="Q9" s="32">
        <f>Q22</f>
        <v>2.6019485402733678E-2</v>
      </c>
      <c r="R9" s="41" t="str">
        <f>"\num{" &amp; TEXT(R22/100000000,"0.000") &amp;"E+08}"</f>
        <v>\num{0.025E+08}</v>
      </c>
      <c r="S9" s="32">
        <f>S22</f>
        <v>8.4292298068864655E-3</v>
      </c>
      <c r="T9" s="41" t="str">
        <f>"\num{" &amp; TEXT(T22/100000000,"0.000") &amp;"E+08}"</f>
        <v>\num{0.082E+08}</v>
      </c>
      <c r="U9" s="32">
        <f>U22</f>
        <v>2.7350786748471682E-2</v>
      </c>
      <c r="V9" s="16"/>
      <c r="W9" s="17"/>
      <c r="X9" s="17"/>
    </row>
    <row r="10" spans="1:24">
      <c r="A10" t="s">
        <v>28</v>
      </c>
      <c r="L10" s="35"/>
      <c r="M10" s="4"/>
      <c r="N10" s="40">
        <v>2</v>
      </c>
      <c r="O10" s="42" t="str">
        <f t="shared" ref="O10:P11" si="1">"\num{" &amp; TEXT(O23/100000000,"0.000") &amp;"E+08}"</f>
        <v>\num{3.089E+08}</v>
      </c>
      <c r="P10" s="42" t="str">
        <f t="shared" si="1"/>
        <v>\num{0.081E+08}</v>
      </c>
      <c r="Q10" s="31">
        <f t="shared" ref="Q10:S11" si="2">Q23</f>
        <v>2.6156141068422477E-2</v>
      </c>
      <c r="R10" s="42" t="str">
        <f t="shared" ref="R10:T11" si="3">"\num{" &amp; TEXT(R23/100000000,"0.000") &amp;"E+08}"</f>
        <v>\num{0.043E+08}</v>
      </c>
      <c r="S10" s="31">
        <f t="shared" si="2"/>
        <v>1.3819776451129102E-2</v>
      </c>
      <c r="T10" s="42" t="str">
        <f>"\num{" &amp; TEXT(T23/100000000,"0.000") &amp;"E+08}"</f>
        <v>\num{0.091E+08}</v>
      </c>
      <c r="U10" s="31">
        <f t="shared" ref="U10" si="4">U23</f>
        <v>2.9582595165914695E-2</v>
      </c>
      <c r="V10" s="18"/>
      <c r="W10" s="19"/>
      <c r="X10" s="19"/>
    </row>
    <row r="11" spans="1:24">
      <c r="L11" s="35"/>
      <c r="M11" s="4"/>
      <c r="N11" s="40">
        <v>3</v>
      </c>
      <c r="O11" s="41" t="str">
        <f t="shared" si="1"/>
        <v>\num{2.981E+08}</v>
      </c>
      <c r="P11" s="41" t="str">
        <f t="shared" si="1"/>
        <v>\num{0.078E+08}</v>
      </c>
      <c r="Q11" s="32">
        <f t="shared" si="2"/>
        <v>2.6063013639254784E-2</v>
      </c>
      <c r="R11" s="41" t="str">
        <f t="shared" si="3"/>
        <v>\num{0.011E+08}</v>
      </c>
      <c r="S11" s="32">
        <f t="shared" si="2"/>
        <v>3.7086181667030276E-3</v>
      </c>
      <c r="T11" s="41" t="str">
        <f t="shared" si="3"/>
        <v>\num{0.078E+08}</v>
      </c>
      <c r="U11" s="32">
        <f t="shared" ref="U11" si="5">U24</f>
        <v>2.6325548971795076E-2</v>
      </c>
      <c r="V11" s="20"/>
      <c r="W11" s="21"/>
      <c r="X11" s="21"/>
    </row>
    <row r="12" spans="1:24">
      <c r="A12" t="s">
        <v>29</v>
      </c>
      <c r="B12" s="1">
        <v>4.8000000000000001E-2</v>
      </c>
      <c r="L12" s="35"/>
      <c r="M12" s="4"/>
      <c r="N12" s="4"/>
      <c r="O12" s="38"/>
      <c r="P12" s="39"/>
      <c r="Q12" s="39"/>
      <c r="R12" s="39"/>
      <c r="S12" s="39"/>
      <c r="T12" s="39"/>
      <c r="U12" s="39"/>
      <c r="V12" s="19"/>
      <c r="W12" s="19"/>
      <c r="X12" s="19"/>
    </row>
    <row r="13" spans="1:24">
      <c r="A13" t="s">
        <v>30</v>
      </c>
      <c r="B13" s="1">
        <v>0.252</v>
      </c>
      <c r="L13" s="35"/>
      <c r="M13" s="4"/>
      <c r="N13" s="4"/>
      <c r="O13" s="20"/>
      <c r="P13" s="21"/>
      <c r="Q13" s="21"/>
      <c r="R13" s="21"/>
      <c r="S13" s="21"/>
      <c r="T13" s="21"/>
      <c r="U13" s="21"/>
      <c r="V13" s="21"/>
      <c r="W13" s="21"/>
      <c r="X13" s="21"/>
    </row>
    <row r="14" spans="1:24">
      <c r="L14" s="35"/>
      <c r="M14" s="4"/>
      <c r="N14" s="4"/>
      <c r="O14" s="18"/>
      <c r="P14" s="19"/>
      <c r="Q14" s="19"/>
      <c r="R14" s="19"/>
      <c r="S14" s="19"/>
      <c r="T14" s="19"/>
      <c r="U14" s="19"/>
      <c r="V14" s="19"/>
      <c r="W14" s="19"/>
      <c r="X14" s="19"/>
    </row>
    <row r="15" spans="1:24">
      <c r="A15" t="s">
        <v>33</v>
      </c>
      <c r="B15" s="1">
        <v>0.86499999999999999</v>
      </c>
      <c r="C15" s="1">
        <v>5.0000000000000001E-3</v>
      </c>
      <c r="L15" s="35"/>
      <c r="M15" s="4"/>
      <c r="N15" s="4"/>
      <c r="O15" s="20"/>
      <c r="P15" s="21"/>
      <c r="Q15" s="21"/>
      <c r="R15" s="21"/>
      <c r="S15" s="21"/>
      <c r="T15" s="21"/>
      <c r="U15" s="21"/>
      <c r="V15" s="21"/>
      <c r="W15" s="21"/>
      <c r="X15" s="21"/>
    </row>
    <row r="16" spans="1:24">
      <c r="A16" t="s">
        <v>34</v>
      </c>
      <c r="B16" s="1">
        <v>0.38700000000000001</v>
      </c>
      <c r="C16" s="1">
        <v>1E-3</v>
      </c>
      <c r="L16" s="35"/>
      <c r="M16" s="4"/>
      <c r="N16" s="4"/>
      <c r="O16" s="18"/>
      <c r="P16" s="19"/>
      <c r="Q16" s="19"/>
      <c r="R16" s="19"/>
      <c r="S16" s="19"/>
      <c r="T16" s="19"/>
      <c r="U16" s="19"/>
      <c r="V16" s="19"/>
      <c r="W16" s="19"/>
      <c r="X16" s="19"/>
    </row>
    <row r="17" spans="1:24">
      <c r="L17" s="35"/>
      <c r="M17" s="4"/>
      <c r="N17" s="4"/>
      <c r="O17" s="20"/>
      <c r="P17" s="21"/>
      <c r="Q17" s="21"/>
      <c r="R17" s="21"/>
      <c r="S17" s="21"/>
      <c r="T17" s="21"/>
      <c r="U17" s="21"/>
      <c r="V17" s="21"/>
      <c r="W17" s="21"/>
      <c r="X17" s="21"/>
    </row>
    <row r="18" spans="1:24">
      <c r="A18" t="s">
        <v>52</v>
      </c>
      <c r="B18">
        <f>299792458/1.000276</f>
        <v>299709738.11228102</v>
      </c>
      <c r="L18" s="35"/>
      <c r="M18" s="4"/>
      <c r="N18" s="4"/>
      <c r="O18" s="18"/>
      <c r="P18" s="19"/>
      <c r="Q18" s="19"/>
      <c r="R18" s="19"/>
      <c r="S18" s="19"/>
      <c r="T18" s="19"/>
      <c r="U18" s="19"/>
      <c r="V18" s="19"/>
      <c r="W18" s="19"/>
      <c r="X18" s="19"/>
    </row>
    <row r="19" spans="1:24">
      <c r="D19" t="str">
        <f t="array" ref="D19:F21">TRANSPOSE(A22:C24)</f>
        <v>C 1</v>
      </c>
      <c r="E19" t="str">
        <v>C 2</v>
      </c>
      <c r="F19" t="str">
        <v>C 3</v>
      </c>
    </row>
    <row r="20" spans="1:24">
      <c r="B20" t="s">
        <v>47</v>
      </c>
      <c r="D20" s="1">
        <v>8160797.4733653236</v>
      </c>
      <c r="E20" s="1">
        <v>9137092.3522270396</v>
      </c>
      <c r="F20" s="1">
        <v>7847767.6662877062</v>
      </c>
    </row>
    <row r="21" spans="1:24">
      <c r="C21" t="s">
        <v>51</v>
      </c>
      <c r="D21">
        <v>298375236.82280678</v>
      </c>
      <c r="E21">
        <v>308867166.68978626</v>
      </c>
      <c r="F21">
        <v>298104615.96435177</v>
      </c>
      <c r="O21" t="s">
        <v>15</v>
      </c>
      <c r="P21" t="s">
        <v>77</v>
      </c>
      <c r="Q21" t="s">
        <v>78</v>
      </c>
      <c r="R21" t="s">
        <v>79</v>
      </c>
      <c r="S21" t="s">
        <v>80</v>
      </c>
      <c r="T21" t="s">
        <v>81</v>
      </c>
      <c r="U21" t="s">
        <v>82</v>
      </c>
    </row>
    <row r="22" spans="1:24">
      <c r="A22" t="s">
        <v>48</v>
      </c>
      <c r="B22">
        <f>'Misura di c'!R36</f>
        <v>8160797.4733653236</v>
      </c>
      <c r="C22" s="22">
        <f>'Misura di c'!O36</f>
        <v>298375236.82280678</v>
      </c>
      <c r="D22">
        <f>(D$21-$C22)/SQRT(D$20^2+$B22^2)</f>
        <v>0</v>
      </c>
      <c r="E22">
        <f t="shared" ref="E22:F22" si="6">(E$21-$C22)/SQRT(E$20^2+$B22^2)</f>
        <v>0.85641966286264037</v>
      </c>
      <c r="F22">
        <f t="shared" si="6"/>
        <v>-2.3902363474213272E-2</v>
      </c>
      <c r="O22" s="1">
        <f>'Misura di c'!O36</f>
        <v>298375236.82280678</v>
      </c>
      <c r="P22" s="1">
        <f>'Misura di c'!Q36</f>
        <v>7763570.1190482248</v>
      </c>
      <c r="Q22" s="2">
        <f>P22/O22</f>
        <v>2.6019485402733678E-2</v>
      </c>
      <c r="R22" s="1">
        <f>'Misura di c'!P36</f>
        <v>2515073.439863611</v>
      </c>
      <c r="S22" s="2">
        <f>R22/O22</f>
        <v>8.4292298068864655E-3</v>
      </c>
      <c r="T22" s="1">
        <f>'Misura di c'!R36</f>
        <v>8160797.4733653236</v>
      </c>
      <c r="U22" s="1">
        <f>T22/O22</f>
        <v>2.7350786748471682E-2</v>
      </c>
    </row>
    <row r="23" spans="1:24">
      <c r="A23" t="s">
        <v>49</v>
      </c>
      <c r="B23" s="1">
        <f>'Misura di c (2)'!R25</f>
        <v>9137092.3522270396</v>
      </c>
      <c r="C23">
        <f>'Misura di c (2)'!O25</f>
        <v>308867166.68978626</v>
      </c>
      <c r="D23">
        <f t="shared" ref="D23:F24" si="7">(D$21-$C23)/SQRT(D$20^2+$B23^2)</f>
        <v>-0.85641966286264037</v>
      </c>
      <c r="E23">
        <f t="shared" si="7"/>
        <v>0</v>
      </c>
      <c r="F23">
        <f t="shared" si="7"/>
        <v>-0.89355347325686507</v>
      </c>
      <c r="O23" s="1">
        <f>'Misura di c (2)'!O25</f>
        <v>308867166.68978626</v>
      </c>
      <c r="P23" s="1">
        <f>'Misura di c (2)'!Q25</f>
        <v>8078773.1833420089</v>
      </c>
      <c r="Q23" s="2">
        <f>P23/O23</f>
        <v>2.6156141068422477E-2</v>
      </c>
      <c r="R23" s="1">
        <f>'Misura di c (2)'!P25</f>
        <v>4268475.1967464751</v>
      </c>
      <c r="S23" s="2">
        <f>R23/O23</f>
        <v>1.3819776451129102E-2</v>
      </c>
      <c r="T23" s="1">
        <f>SQRT(SUMSQ(P23,R23))</f>
        <v>9137092.3522270396</v>
      </c>
      <c r="U23" s="1">
        <f>T23/O23</f>
        <v>2.9582595165914695E-2</v>
      </c>
    </row>
    <row r="24" spans="1:24">
      <c r="A24" t="s">
        <v>50</v>
      </c>
      <c r="B24">
        <f>'Misura di c (3)'!R25</f>
        <v>7847767.6662877062</v>
      </c>
      <c r="C24">
        <f>'Misura di c (3)'!O25</f>
        <v>298104615.96435177</v>
      </c>
      <c r="D24">
        <f t="shared" si="7"/>
        <v>2.3902363474213272E-2</v>
      </c>
      <c r="E24">
        <f t="shared" si="7"/>
        <v>0.89355347325686507</v>
      </c>
      <c r="F24">
        <f t="shared" si="7"/>
        <v>0</v>
      </c>
      <c r="O24" s="1">
        <f>'Misura di c (3)'!O25</f>
        <v>298104615.96435177</v>
      </c>
      <c r="P24" s="1">
        <f>'Misura di c (3)'!Q25</f>
        <v>7769504.6718037101</v>
      </c>
      <c r="Q24" s="2">
        <f>P24/O24</f>
        <v>2.6063013639254784E-2</v>
      </c>
      <c r="R24" s="1">
        <f>'Misura di c (3)'!P25</f>
        <v>1105556.1943434244</v>
      </c>
      <c r="S24" s="2">
        <f>R24/O24</f>
        <v>3.7086181667030276E-3</v>
      </c>
      <c r="T24" s="1">
        <f>'Misura di c (3)'!R25</f>
        <v>7847767.6662877062</v>
      </c>
      <c r="U24" s="1">
        <f>T24/O24</f>
        <v>2.6325548971795076E-2</v>
      </c>
    </row>
    <row r="26" spans="1:24">
      <c r="A26" t="s">
        <v>42</v>
      </c>
      <c r="B26" t="s">
        <v>45</v>
      </c>
      <c r="C26" t="s">
        <v>39</v>
      </c>
      <c r="D26" t="s">
        <v>46</v>
      </c>
    </row>
    <row r="27" spans="1:24">
      <c r="A27">
        <f>C22</f>
        <v>298375236.82280678</v>
      </c>
      <c r="B27">
        <f>B22</f>
        <v>8160797.4733653236</v>
      </c>
      <c r="C27">
        <f>B27^-2</f>
        <v>1.5015327180220815E-14</v>
      </c>
      <c r="D27">
        <f>C27*A27</f>
        <v>4.4802018033703133E-6</v>
      </c>
      <c r="F27" t="s">
        <v>42</v>
      </c>
      <c r="G27" t="s">
        <v>16</v>
      </c>
      <c r="H27" t="s">
        <v>27</v>
      </c>
      <c r="I27" t="s">
        <v>36</v>
      </c>
    </row>
    <row r="28" spans="1:24">
      <c r="A28">
        <f t="shared" ref="A28:A29" si="8">C23</f>
        <v>308867166.68978626</v>
      </c>
      <c r="B28">
        <f t="shared" ref="B28" si="9">B23</f>
        <v>9137092.3522270396</v>
      </c>
      <c r="C28">
        <f t="shared" ref="C28:C29" si="10">B28^-2</f>
        <v>1.1977990683624953E-14</v>
      </c>
      <c r="D28">
        <f t="shared" ref="D28:D29" si="11">C28*A28</f>
        <v>3.6996080450878953E-6</v>
      </c>
      <c r="F28">
        <f>D30/C30</f>
        <v>301180627.82620025</v>
      </c>
      <c r="G28">
        <f>C30^-0.5</f>
        <v>4809560.8332096366</v>
      </c>
      <c r="H28">
        <f>G28/F28</f>
        <v>1.5969024528314116E-2</v>
      </c>
      <c r="I28">
        <f>(F28-B18)/G28</f>
        <v>0.30582620013096529</v>
      </c>
    </row>
    <row r="29" spans="1:24">
      <c r="A29">
        <f t="shared" si="8"/>
        <v>298104615.96435177</v>
      </c>
      <c r="B29">
        <f>B24</f>
        <v>7847767.6662877062</v>
      </c>
      <c r="C29">
        <f t="shared" si="10"/>
        <v>1.6237072337861703E-14</v>
      </c>
      <c r="D29">
        <f t="shared" si="11"/>
        <v>4.840346213663662E-6</v>
      </c>
    </row>
    <row r="30" spans="1:24">
      <c r="C30">
        <f>SUM(C27:C29)</f>
        <v>4.3230390201707469E-14</v>
      </c>
      <c r="D30">
        <f>SUM(D27:D29)</f>
        <v>1.3020156062121871E-5</v>
      </c>
      <c r="F30" s="4" t="s">
        <v>61</v>
      </c>
      <c r="G30" s="4" t="s">
        <v>84</v>
      </c>
      <c r="H30" s="4" t="s">
        <v>85</v>
      </c>
      <c r="I30" s="4"/>
    </row>
    <row r="31" spans="1:24">
      <c r="F31" s="41" t="str">
        <f>"\num{" &amp; TEXT(F28/100000000,"0.000") &amp;"E+08}"</f>
        <v>\num{3.012E+08}</v>
      </c>
      <c r="G31" s="41" t="str">
        <f>"\num{" &amp; TEXT(G28/100000000,"0.000") &amp;"E+08}"</f>
        <v>\num{0.048E+08}</v>
      </c>
      <c r="H31" s="36">
        <f>H28</f>
        <v>1.5969024528314116E-2</v>
      </c>
      <c r="I31" s="20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topLeftCell="A2" zoomScaleNormal="100" workbookViewId="0">
      <selection activeCell="P38" sqref="P38"/>
    </sheetView>
  </sheetViews>
  <sheetFormatPr defaultRowHeight="15"/>
  <cols>
    <col min="1" max="1" width="12" bestFit="1" customWidth="1"/>
    <col min="2" max="2" width="19" bestFit="1" customWidth="1"/>
    <col min="3" max="3" width="13.7109375" bestFit="1" customWidth="1"/>
    <col min="4" max="5" width="13.5703125" customWidth="1"/>
    <col min="6" max="6" width="12.7109375" bestFit="1" customWidth="1"/>
    <col min="7" max="8" width="9.28515625" bestFit="1" customWidth="1"/>
    <col min="9" max="9" width="26" bestFit="1" customWidth="1"/>
    <col min="11" max="13" width="12" bestFit="1" customWidth="1"/>
    <col min="14" max="15" width="14.42578125" bestFit="1" customWidth="1"/>
    <col min="16" max="16" width="14.5703125" bestFit="1" customWidth="1"/>
    <col min="17" max="17" width="12.28515625" customWidth="1"/>
    <col min="18" max="18" width="16" bestFit="1" customWidth="1"/>
    <col min="19" max="19" width="15.5703125" customWidth="1"/>
    <col min="20" max="20" width="11.7109375" customWidth="1"/>
    <col min="21" max="21" width="9.42578125" bestFit="1" customWidth="1"/>
    <col min="22" max="22" width="11.140625" customWidth="1"/>
    <col min="23" max="23" width="10.28515625" bestFit="1" customWidth="1"/>
    <col min="24" max="42" width="12.28515625" bestFit="1" customWidth="1"/>
    <col min="43" max="43" width="12" bestFit="1" customWidth="1"/>
    <col min="44" max="46" width="9.140625" bestFit="1" customWidth="1"/>
    <col min="47" max="48" width="9.140625" customWidth="1"/>
    <col min="49" max="53" width="9.140625" bestFit="1" customWidth="1"/>
  </cols>
  <sheetData>
    <row r="1" spans="1:43">
      <c r="A1" t="s">
        <v>0</v>
      </c>
      <c r="C1" t="s">
        <v>17</v>
      </c>
      <c r="E1" t="s">
        <v>37</v>
      </c>
    </row>
    <row r="2" spans="1:43">
      <c r="A2" t="s">
        <v>1</v>
      </c>
      <c r="B2" s="1">
        <f>Sheet1!B8</f>
        <v>0.252</v>
      </c>
      <c r="C2" s="1">
        <f>Sheet1!C8</f>
        <v>2.52E-4</v>
      </c>
      <c r="E2" s="1"/>
    </row>
    <row r="3" spans="1:43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43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43">
      <c r="A5" t="s">
        <v>4</v>
      </c>
      <c r="B5" s="1">
        <f>B4+B3</f>
        <v>13.997999999999999</v>
      </c>
      <c r="C5">
        <f>SQRT(C4^2+C3^2)</f>
        <v>0.34644768724873887</v>
      </c>
    </row>
    <row r="6" spans="1:43">
      <c r="A6" t="s">
        <v>5</v>
      </c>
      <c r="B6" s="1">
        <f>B3^2</f>
        <v>182.79039999999998</v>
      </c>
      <c r="C6" s="1">
        <f>2*B3*C3</f>
        <v>9.3669307673324873</v>
      </c>
      <c r="V6" s="1"/>
      <c r="Z6" s="25"/>
    </row>
    <row r="7" spans="1:43">
      <c r="A7" t="s">
        <v>10</v>
      </c>
      <c r="B7">
        <v>0</v>
      </c>
    </row>
    <row r="8" spans="1:43">
      <c r="A8" t="s">
        <v>11</v>
      </c>
      <c r="B8">
        <v>0</v>
      </c>
      <c r="AA8" s="26"/>
      <c r="AE8" s="1"/>
    </row>
    <row r="9" spans="1:43">
      <c r="A9" t="s">
        <v>12</v>
      </c>
      <c r="B9" s="1">
        <f>0.00001*SQRT(2)</f>
        <v>1.4142135623730953E-5</v>
      </c>
      <c r="C9" s="1"/>
      <c r="E9" s="1"/>
      <c r="S9" t="s">
        <v>55</v>
      </c>
    </row>
    <row r="10" spans="1:43" ht="15.75" thickBot="1">
      <c r="A10" t="s">
        <v>0</v>
      </c>
      <c r="B10" s="22">
        <f>299792458/1.00027</f>
        <v>299711535.88531095</v>
      </c>
      <c r="S10" s="34">
        <f>SUM(T13:T32)</f>
        <v>12.95685618881145</v>
      </c>
      <c r="T10">
        <f>S10/(COUNT(T13:T32)-2)</f>
        <v>0.71982534382285834</v>
      </c>
      <c r="U10" s="35"/>
      <c r="V10" s="13"/>
      <c r="W10" s="13" t="s">
        <v>20</v>
      </c>
      <c r="X10" s="13">
        <f t="array" ref="X10:AP12">TRANSPOSE(U13:W31)</f>
        <v>1</v>
      </c>
      <c r="Y10" s="13">
        <v>2</v>
      </c>
      <c r="Z10" s="13">
        <v>3</v>
      </c>
      <c r="AA10" s="13">
        <v>4</v>
      </c>
      <c r="AB10" s="13">
        <v>5</v>
      </c>
      <c r="AC10" s="13">
        <v>6</v>
      </c>
      <c r="AD10" s="13">
        <v>7</v>
      </c>
      <c r="AE10" s="13">
        <v>8</v>
      </c>
      <c r="AF10" s="13">
        <v>9</v>
      </c>
      <c r="AG10" s="13">
        <v>10</v>
      </c>
      <c r="AH10" s="13">
        <v>11</v>
      </c>
      <c r="AI10" s="13">
        <v>12</v>
      </c>
      <c r="AJ10" s="13">
        <v>13</v>
      </c>
      <c r="AK10" s="13">
        <v>14</v>
      </c>
      <c r="AL10" s="13">
        <v>15</v>
      </c>
      <c r="AM10" s="13">
        <v>16</v>
      </c>
      <c r="AN10" s="13">
        <v>17</v>
      </c>
      <c r="AO10" s="13">
        <v>18</v>
      </c>
      <c r="AP10" s="13">
        <v>19</v>
      </c>
    </row>
    <row r="11" spans="1:43">
      <c r="I11" t="s">
        <v>14</v>
      </c>
      <c r="U11" s="12"/>
      <c r="V11" s="14" t="s">
        <v>18</v>
      </c>
      <c r="W11" s="15"/>
      <c r="X11" s="27" t="str">
        <v>0.141E+08</v>
      </c>
      <c r="Y11" s="27" t="str">
        <v>0.139E+08</v>
      </c>
      <c r="Z11" s="27" t="str">
        <v>0.135E+08</v>
      </c>
      <c r="AA11" s="27" t="str">
        <v>0.139E+08</v>
      </c>
      <c r="AB11" s="27" t="str">
        <v>0.138E+08</v>
      </c>
      <c r="AC11" s="27" t="str">
        <v>0.135E+08</v>
      </c>
      <c r="AD11" s="27" t="str">
        <v>0.137E+08</v>
      </c>
      <c r="AE11" s="27" t="str">
        <v>0.135E+08</v>
      </c>
      <c r="AF11" s="27" t="str">
        <v>0.138E+08</v>
      </c>
      <c r="AG11" s="27" t="str">
        <v>0.135E+08</v>
      </c>
      <c r="AH11" s="27" t="str">
        <v>0.136E+08</v>
      </c>
      <c r="AI11" s="27" t="str">
        <v>0.135E+08</v>
      </c>
      <c r="AJ11" s="27" t="str">
        <v>0.138E+08</v>
      </c>
      <c r="AK11" s="27" t="str">
        <v>0.138E+08</v>
      </c>
      <c r="AL11" s="27" t="str">
        <v>0.137E+08</v>
      </c>
      <c r="AM11" s="27" t="str">
        <v>0.137E+08</v>
      </c>
      <c r="AN11" s="27" t="str">
        <v>0.136E+08</v>
      </c>
      <c r="AO11" s="27" t="str">
        <v>0.137E+08</v>
      </c>
      <c r="AP11" s="27" t="str">
        <v>0.135E+08</v>
      </c>
    </row>
    <row r="12" spans="1:43" ht="15.75" thickBot="1">
      <c r="B12" t="s">
        <v>53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I12" t="s">
        <v>64</v>
      </c>
      <c r="K12" t="s">
        <v>2</v>
      </c>
      <c r="L12" t="s">
        <v>3</v>
      </c>
      <c r="M12" t="s">
        <v>1</v>
      </c>
      <c r="O12" t="s">
        <v>15</v>
      </c>
      <c r="P12" t="s">
        <v>44</v>
      </c>
      <c r="Q12" t="s">
        <v>16</v>
      </c>
      <c r="R12" t="s">
        <v>35</v>
      </c>
      <c r="S12" t="s">
        <v>36</v>
      </c>
      <c r="T12" t="s">
        <v>59</v>
      </c>
      <c r="U12" s="12" t="s">
        <v>20</v>
      </c>
      <c r="V12" s="29"/>
      <c r="W12" s="4" t="s">
        <v>19</v>
      </c>
      <c r="X12" s="23">
        <v>311981759.35506576</v>
      </c>
      <c r="Y12" s="23">
        <v>283191189.13289255</v>
      </c>
      <c r="Z12" s="23">
        <v>311615583.58117723</v>
      </c>
      <c r="AA12" s="23">
        <v>303559716.55557692</v>
      </c>
      <c r="AB12" s="23">
        <v>286349455.18270081</v>
      </c>
      <c r="AC12" s="23">
        <v>300462067.44130909</v>
      </c>
      <c r="AD12" s="23">
        <v>284081982.12129939</v>
      </c>
      <c r="AE12" s="23">
        <v>303576360.90893263</v>
      </c>
      <c r="AF12" s="23">
        <v>283317519.77488542</v>
      </c>
      <c r="AG12" s="23">
        <v>293220069.0454452</v>
      </c>
      <c r="AH12" s="23">
        <v>288755753.12541312</v>
      </c>
      <c r="AI12" s="23">
        <v>308340344.71470666</v>
      </c>
      <c r="AJ12" s="23">
        <v>306000888.3815161</v>
      </c>
      <c r="AK12" s="23">
        <v>300917312.99803823</v>
      </c>
      <c r="AL12" s="23">
        <v>299323953.54948729</v>
      </c>
      <c r="AM12" s="23">
        <v>295658028.80319279</v>
      </c>
      <c r="AN12" s="23">
        <v>298982519.38194001</v>
      </c>
      <c r="AO12" s="23">
        <v>289230680.35094941</v>
      </c>
      <c r="AP12" s="23">
        <v>292776803.63494575</v>
      </c>
      <c r="AQ12" t="s">
        <v>42</v>
      </c>
    </row>
    <row r="13" spans="1:43" ht="15.75" thickTop="1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 s="22">
        <f>2*PI()*B13</f>
        <v>383.27430373795477</v>
      </c>
      <c r="H13" s="22">
        <f>2*PI()*C13</f>
        <v>5736.5481854549625</v>
      </c>
      <c r="I13">
        <f>ABS(H13-G13)</f>
        <v>5353.2738817170075</v>
      </c>
      <c r="K13">
        <f>((4*$B$3*(2*$B$4+$B$3-2*$B$2)*$B$2*(H13-G13))/(($B$5-$B$2)^2*F13)*$C$3)^2</f>
        <v>72154106604254.313</v>
      </c>
      <c r="L13">
        <f>((4*$B$6*$B$2*(G13-H13)/(($B$5-$B$2)^2*F13))*$C$4)^2</f>
        <v>14638257581.1929</v>
      </c>
      <c r="M13">
        <f>((4*$B$6*$B$5*(H13-G13)/(($B$5-$B$2)^2*F13))*$C$2)^2</f>
        <v>110318415463.16502</v>
      </c>
      <c r="O13" s="22">
        <f>4*$B$2*$B$6*ABS(H13-G13)/(($B$5-$B$2)*F13)</f>
        <v>326162748.41666162</v>
      </c>
      <c r="P13">
        <f>SQRT(K13+L13+M13)</f>
        <v>8501709.4326552153</v>
      </c>
      <c r="Q13" s="22">
        <f>SQRT(P13^2+$T$36^2)</f>
        <v>14099324.502806729</v>
      </c>
      <c r="R13" s="2">
        <f>Q13/O13</f>
        <v>4.3227881084676567E-2</v>
      </c>
      <c r="S13" s="2">
        <f>(O13-$B$10)/Q13</f>
        <v>1.8760623976052948</v>
      </c>
      <c r="T13" s="34">
        <f>S13^2</f>
        <v>3.5196101197085272</v>
      </c>
      <c r="U13" s="12">
        <v>1</v>
      </c>
      <c r="V13" s="30" t="str">
        <f>TEXT(Q13/100000000, "0.000") &amp; "E+08"</f>
        <v>0.141E+08</v>
      </c>
      <c r="W13" s="24">
        <f t="shared" ref="W13:W31" si="0">O14</f>
        <v>311981759.35506576</v>
      </c>
      <c r="X13" s="16">
        <f t="shared" ref="X13:AG22" si="1">ABS(($W13-X$12)/SQRT($V13^2+X$11^2))</f>
        <v>0</v>
      </c>
      <c r="Y13" s="17">
        <f t="shared" si="1"/>
        <v>1.4541062943766756</v>
      </c>
      <c r="Z13" s="17">
        <f t="shared" si="1"/>
        <v>1.87582762142013E-2</v>
      </c>
      <c r="AA13" s="17">
        <f t="shared" si="1"/>
        <v>0.42536654716254074</v>
      </c>
      <c r="AB13" s="17">
        <f t="shared" si="1"/>
        <v>1.2991919994634535</v>
      </c>
      <c r="AC13" s="17">
        <f t="shared" si="1"/>
        <v>0.59012523009381557</v>
      </c>
      <c r="AD13" s="17">
        <f t="shared" si="1"/>
        <v>1.4191424352303894</v>
      </c>
      <c r="AE13" s="17">
        <f t="shared" si="1"/>
        <v>0.43058770401064844</v>
      </c>
      <c r="AF13" s="17">
        <f t="shared" si="1"/>
        <v>1.4528678531141983</v>
      </c>
      <c r="AG13" s="17">
        <f t="shared" si="1"/>
        <v>0.96111483656016905</v>
      </c>
      <c r="AH13" s="17">
        <f t="shared" ref="AH13:AP22" si="2">ABS(($W13-AH$12)/SQRT($V13^2+AH$11^2))</f>
        <v>1.1856022835616613</v>
      </c>
      <c r="AI13" s="17">
        <f t="shared" si="2"/>
        <v>0.18654063568685608</v>
      </c>
      <c r="AJ13" s="17">
        <f t="shared" si="2"/>
        <v>0.30314479987469645</v>
      </c>
      <c r="AK13" s="17">
        <f t="shared" si="2"/>
        <v>0.56080951945946089</v>
      </c>
      <c r="AL13" s="17">
        <f t="shared" si="2"/>
        <v>0.64384848685678964</v>
      </c>
      <c r="AM13" s="17">
        <f t="shared" si="2"/>
        <v>0.83031841198333534</v>
      </c>
      <c r="AN13" s="17">
        <f t="shared" si="2"/>
        <v>0.66356344023655323</v>
      </c>
      <c r="AO13" s="17">
        <f t="shared" si="2"/>
        <v>1.1572501597949865</v>
      </c>
      <c r="AP13" s="17">
        <f t="shared" si="2"/>
        <v>0.98382222355645166</v>
      </c>
      <c r="AQ13" s="3">
        <f>$B$10</f>
        <v>299711535.88531095</v>
      </c>
    </row>
    <row r="14" spans="1:43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3">ABS(E14-D14)</f>
        <v>2.3000000000000104E-4</v>
      </c>
      <c r="G14" s="22">
        <f t="shared" ref="G14:G21" si="4">2*PI()*B14</f>
        <v>515.22119518872603</v>
      </c>
      <c r="H14" s="22">
        <f t="shared" ref="H14:H21" si="5">2*PI()*C14</f>
        <v>5868.4950769057332</v>
      </c>
      <c r="I14">
        <f t="shared" ref="I14:I32" si="6">ABS(H14-G14)</f>
        <v>5353.2738817170075</v>
      </c>
      <c r="K14">
        <f t="shared" ref="K14:K21" si="7">((4*$B$3*(2*$B$4+$B$3-2*$B$2)*$B$2*(H14-G14))/(($B$5-$B$2)^2*F14)*$C$3)^2</f>
        <v>66016233641698.828</v>
      </c>
      <c r="L14">
        <f t="shared" ref="L14:L21" si="8">((4*$B$6*$B$2*(G14-H14)/(($B$5-$B$2)^2*F14))*$C$4)^2</f>
        <v>13393037182.036446</v>
      </c>
      <c r="M14">
        <f t="shared" ref="M14:M21" si="9">((4*$B$6*$B$5*(H14-G14)/(($B$5-$B$2)^2*F14))*$C$2)^2</f>
        <v>100934051198.81143</v>
      </c>
      <c r="O14" s="22">
        <f t="shared" ref="O14:O21" si="10">4*$B$2*$B$6*ABS(H14-G14)/(($B$5-$B$2)*F14)</f>
        <v>311981759.35506576</v>
      </c>
      <c r="P14">
        <f t="shared" ref="P14:P21" si="11">SQRT(K14+L14+M14)</f>
        <v>8132069.8921049414</v>
      </c>
      <c r="Q14" s="22">
        <f t="shared" ref="Q14:Q32" si="12">SQRT(P14^2+$T$36^2)</f>
        <v>13879569.477769373</v>
      </c>
      <c r="R14" s="2">
        <f>Q14/O14</f>
        <v>4.4488400560537468E-2</v>
      </c>
      <c r="S14" s="2">
        <f t="shared" ref="S14:S32" si="13">(O14-$B$10)/Q14</f>
        <v>0.88404928477124489</v>
      </c>
      <c r="T14" s="34">
        <f t="shared" ref="T14:T32" si="14">S14^2</f>
        <v>0.78154313790454966</v>
      </c>
      <c r="U14" s="12">
        <v>2</v>
      </c>
      <c r="V14" s="30" t="str">
        <f t="shared" ref="V14:V31" si="15">TEXT(Q14/100000000, "0.000") &amp; "E+08"</f>
        <v>0.139E+08</v>
      </c>
      <c r="W14" s="24">
        <f t="shared" si="0"/>
        <v>283191189.13289255</v>
      </c>
      <c r="X14" s="18">
        <f t="shared" si="1"/>
        <v>1.4541062943766756</v>
      </c>
      <c r="Y14" s="19">
        <f t="shared" si="1"/>
        <v>0</v>
      </c>
      <c r="Z14" s="19">
        <f t="shared" si="1"/>
        <v>1.4669299763484671</v>
      </c>
      <c r="AA14" s="19">
        <f t="shared" si="1"/>
        <v>1.0361671844146958</v>
      </c>
      <c r="AB14" s="19">
        <f t="shared" si="1"/>
        <v>0.1612430893886421</v>
      </c>
      <c r="AC14" s="19">
        <f t="shared" si="1"/>
        <v>0.89131781345694161</v>
      </c>
      <c r="AD14" s="19">
        <f t="shared" si="1"/>
        <v>4.5642697517662673E-2</v>
      </c>
      <c r="AE14" s="19">
        <f t="shared" si="1"/>
        <v>1.0520406901083688</v>
      </c>
      <c r="AF14" s="19">
        <f t="shared" si="1"/>
        <v>6.4497235755730719E-3</v>
      </c>
      <c r="AG14" s="19">
        <f t="shared" si="1"/>
        <v>0.51757178502743018</v>
      </c>
      <c r="AH14" s="19">
        <f t="shared" si="2"/>
        <v>0.28614595061881914</v>
      </c>
      <c r="AI14" s="19">
        <f t="shared" si="2"/>
        <v>1.2979010078802504</v>
      </c>
      <c r="AJ14" s="19">
        <f t="shared" si="2"/>
        <v>1.1645334233628395</v>
      </c>
      <c r="AK14" s="19">
        <f t="shared" si="2"/>
        <v>0.90499499719960186</v>
      </c>
      <c r="AL14" s="19">
        <f t="shared" si="2"/>
        <v>0.82661504521637308</v>
      </c>
      <c r="AM14" s="19">
        <f t="shared" si="2"/>
        <v>0.63877937913542771</v>
      </c>
      <c r="AN14" s="19">
        <f t="shared" si="2"/>
        <v>0.81203580581029589</v>
      </c>
      <c r="AO14" s="19">
        <f t="shared" si="2"/>
        <v>0.30945312144784448</v>
      </c>
      <c r="AP14" s="19">
        <f t="shared" si="2"/>
        <v>0.49469568403174846</v>
      </c>
      <c r="AQ14" s="3">
        <f t="shared" ref="AQ14:AQ31" si="16">$B$10</f>
        <v>299711535.88531095</v>
      </c>
    </row>
    <row r="15" spans="1:43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3"/>
        <v>2.4000000000000063E-4</v>
      </c>
      <c r="G15" s="22">
        <f t="shared" si="4"/>
        <v>691.15038378975453</v>
      </c>
      <c r="H15" s="22">
        <f t="shared" si="5"/>
        <v>5761.6809266836808</v>
      </c>
      <c r="I15">
        <f t="shared" si="6"/>
        <v>5070.5305428939264</v>
      </c>
      <c r="K15">
        <f t="shared" si="7"/>
        <v>54394102066771.164</v>
      </c>
      <c r="L15">
        <f t="shared" si="8"/>
        <v>11035198333.453497</v>
      </c>
      <c r="M15">
        <f t="shared" si="9"/>
        <v>83164651784.26944</v>
      </c>
      <c r="O15" s="22">
        <f t="shared" si="10"/>
        <v>283191189.13289255</v>
      </c>
      <c r="P15">
        <f t="shared" si="11"/>
        <v>7381619.1934350608</v>
      </c>
      <c r="Q15" s="22">
        <f t="shared" si="12"/>
        <v>13453631.111154951</v>
      </c>
      <c r="R15" s="2">
        <f t="shared" ref="R14:R32" si="17">Q15/O15</f>
        <v>4.7507237609859372E-2</v>
      </c>
      <c r="S15" s="2">
        <f t="shared" si="13"/>
        <v>-1.2279470587476351</v>
      </c>
      <c r="T15" s="34">
        <f t="shared" si="14"/>
        <v>1.5078539790869681</v>
      </c>
      <c r="U15" s="12">
        <v>3</v>
      </c>
      <c r="V15" s="30" t="str">
        <f t="shared" si="15"/>
        <v>0.135E+08</v>
      </c>
      <c r="W15" s="24">
        <f t="shared" si="0"/>
        <v>311615583.58117723</v>
      </c>
      <c r="X15" s="20">
        <f t="shared" si="1"/>
        <v>1.87582762142013E-2</v>
      </c>
      <c r="Y15" s="21">
        <f t="shared" si="1"/>
        <v>1.4669299763484671</v>
      </c>
      <c r="Z15" s="21">
        <f t="shared" si="1"/>
        <v>0</v>
      </c>
      <c r="AA15" s="21">
        <f t="shared" si="1"/>
        <v>0.41574827026942707</v>
      </c>
      <c r="AB15" s="21">
        <f t="shared" si="1"/>
        <v>1.3087745126111674</v>
      </c>
      <c r="AC15" s="21">
        <f t="shared" si="1"/>
        <v>0.58420199233884196</v>
      </c>
      <c r="AD15" s="21">
        <f t="shared" si="1"/>
        <v>1.4315198541041816</v>
      </c>
      <c r="AE15" s="21">
        <f t="shared" si="1"/>
        <v>0.42108065681576295</v>
      </c>
      <c r="AF15" s="21">
        <f t="shared" si="1"/>
        <v>1.4658274541244156</v>
      </c>
      <c r="AG15" s="21">
        <f t="shared" si="1"/>
        <v>0.96352541271346837</v>
      </c>
      <c r="AH15" s="21">
        <f t="shared" si="2"/>
        <v>1.1929321832712758</v>
      </c>
      <c r="AI15" s="21">
        <f t="shared" si="2"/>
        <v>0.17155137870274703</v>
      </c>
      <c r="AJ15" s="21">
        <f t="shared" si="2"/>
        <v>0.29083878058024437</v>
      </c>
      <c r="AK15" s="21">
        <f t="shared" si="2"/>
        <v>0.55416578461916044</v>
      </c>
      <c r="AL15" s="21">
        <f t="shared" si="2"/>
        <v>0.63906323534565412</v>
      </c>
      <c r="AM15" s="21">
        <f t="shared" si="2"/>
        <v>0.82966104237862082</v>
      </c>
      <c r="AN15" s="21">
        <f t="shared" si="2"/>
        <v>0.65925199601829299</v>
      </c>
      <c r="AO15" s="21">
        <f t="shared" si="2"/>
        <v>1.1638300733366584</v>
      </c>
      <c r="AP15" s="21">
        <f t="shared" si="2"/>
        <v>0.98674289253788339</v>
      </c>
      <c r="AQ15" s="3">
        <f t="shared" si="16"/>
        <v>299711535.88531095</v>
      </c>
    </row>
    <row r="16" spans="1:43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3"/>
        <v>2.299999999999993E-4</v>
      </c>
      <c r="G16" s="22">
        <f t="shared" si="4"/>
        <v>678.58401317539528</v>
      </c>
      <c r="H16" s="22">
        <f t="shared" si="5"/>
        <v>6025.574709585223</v>
      </c>
      <c r="I16">
        <f t="shared" si="6"/>
        <v>5346.9906964098282</v>
      </c>
      <c r="K16">
        <f t="shared" si="7"/>
        <v>65861356900571.813</v>
      </c>
      <c r="L16">
        <f t="shared" si="8"/>
        <v>13361616577.768038</v>
      </c>
      <c r="M16">
        <f t="shared" si="9"/>
        <v>100697255852.33253</v>
      </c>
      <c r="O16" s="22">
        <f t="shared" si="10"/>
        <v>311615583.58117723</v>
      </c>
      <c r="P16">
        <f t="shared" si="11"/>
        <v>8122525.2091330513</v>
      </c>
      <c r="Q16" s="22">
        <f t="shared" si="12"/>
        <v>13873979.383405088</v>
      </c>
      <c r="R16" s="2">
        <f>Q16/O16</f>
        <v>4.452273928011323E-2</v>
      </c>
      <c r="S16" s="2">
        <f t="shared" si="13"/>
        <v>0.85801249712861249</v>
      </c>
      <c r="T16" s="34">
        <f t="shared" si="14"/>
        <v>0.7361854452288773</v>
      </c>
      <c r="U16" s="12">
        <v>4</v>
      </c>
      <c r="V16" s="30" t="str">
        <f t="shared" si="15"/>
        <v>0.139E+08</v>
      </c>
      <c r="W16" s="24">
        <f t="shared" si="0"/>
        <v>303559716.55557692</v>
      </c>
      <c r="X16" s="18">
        <f t="shared" si="1"/>
        <v>0.42536654716254074</v>
      </c>
      <c r="Y16" s="19">
        <f t="shared" si="1"/>
        <v>1.0361671844146958</v>
      </c>
      <c r="Z16" s="19">
        <f t="shared" si="1"/>
        <v>0.41574827026942707</v>
      </c>
      <c r="AA16" s="19">
        <f t="shared" si="1"/>
        <v>0</v>
      </c>
      <c r="AB16" s="19">
        <f t="shared" si="1"/>
        <v>0.87865799435010461</v>
      </c>
      <c r="AC16" s="19">
        <f t="shared" si="1"/>
        <v>0.15986389262209838</v>
      </c>
      <c r="AD16" s="19">
        <f t="shared" si="1"/>
        <v>0.99800554414227882</v>
      </c>
      <c r="AE16" s="19">
        <f t="shared" si="1"/>
        <v>8.5898402932887725E-4</v>
      </c>
      <c r="AF16" s="19">
        <f t="shared" si="1"/>
        <v>1.0334513601631736</v>
      </c>
      <c r="AG16" s="19">
        <f t="shared" si="1"/>
        <v>0.53360992105160976</v>
      </c>
      <c r="AH16" s="19">
        <f t="shared" si="2"/>
        <v>0.76126255252779285</v>
      </c>
      <c r="AI16" s="19">
        <f t="shared" si="2"/>
        <v>0.24671930180121057</v>
      </c>
      <c r="AJ16" s="19">
        <f t="shared" si="2"/>
        <v>0.12463233962409283</v>
      </c>
      <c r="AK16" s="19">
        <f t="shared" si="2"/>
        <v>0.13490608653914479</v>
      </c>
      <c r="AL16" s="19">
        <f t="shared" si="2"/>
        <v>0.21703319644356844</v>
      </c>
      <c r="AM16" s="19">
        <f t="shared" si="2"/>
        <v>0.40486886252451382</v>
      </c>
      <c r="AN16" s="19">
        <f t="shared" si="2"/>
        <v>0.23537269733631605</v>
      </c>
      <c r="AO16" s="19">
        <f t="shared" si="2"/>
        <v>0.73419512021209699</v>
      </c>
      <c r="AP16" s="19">
        <f t="shared" si="2"/>
        <v>0.55648602204729147</v>
      </c>
      <c r="AQ16" s="3">
        <f t="shared" si="16"/>
        <v>299711535.88531095</v>
      </c>
    </row>
    <row r="17" spans="1:43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3"/>
        <v>2.299999999999993E-4</v>
      </c>
      <c r="G17" s="22">
        <f t="shared" si="4"/>
        <v>628.31853071795865</v>
      </c>
      <c r="H17" s="22">
        <f t="shared" si="5"/>
        <v>5837.0791503698356</v>
      </c>
      <c r="I17">
        <f t="shared" si="6"/>
        <v>5208.7606196518773</v>
      </c>
      <c r="K17">
        <f t="shared" si="7"/>
        <v>62500085995056.43</v>
      </c>
      <c r="L17">
        <f t="shared" si="8"/>
        <v>12679699059.407379</v>
      </c>
      <c r="M17">
        <f t="shared" si="9"/>
        <v>95558115508.281296</v>
      </c>
      <c r="O17" s="22">
        <f t="shared" si="10"/>
        <v>303559716.55557692</v>
      </c>
      <c r="P17">
        <f t="shared" si="11"/>
        <v>7912542.1837500567</v>
      </c>
      <c r="Q17" s="22">
        <f t="shared" si="12"/>
        <v>13752098.456881832</v>
      </c>
      <c r="R17" s="2">
        <f t="shared" si="17"/>
        <v>4.5302778026425135E-2</v>
      </c>
      <c r="S17" s="2">
        <f t="shared" si="13"/>
        <v>0.2798249796081313</v>
      </c>
      <c r="T17" s="34">
        <f t="shared" si="14"/>
        <v>7.8302019212691101E-2</v>
      </c>
      <c r="U17" s="12">
        <v>5</v>
      </c>
      <c r="V17" s="30" t="str">
        <f t="shared" si="15"/>
        <v>0.138E+08</v>
      </c>
      <c r="W17" s="24">
        <f t="shared" si="0"/>
        <v>286349455.18270081</v>
      </c>
      <c r="X17" s="20">
        <f t="shared" si="1"/>
        <v>1.2991919994634535</v>
      </c>
      <c r="Y17" s="21">
        <f t="shared" si="1"/>
        <v>0.1612430893886421</v>
      </c>
      <c r="Z17" s="21">
        <f t="shared" si="1"/>
        <v>1.3087745126111674</v>
      </c>
      <c r="AA17" s="21">
        <f t="shared" si="1"/>
        <v>0.87865799435010461</v>
      </c>
      <c r="AB17" s="21">
        <f t="shared" si="1"/>
        <v>0</v>
      </c>
      <c r="AC17" s="21">
        <f t="shared" si="1"/>
        <v>0.73102720524226494</v>
      </c>
      <c r="AD17" s="21">
        <f t="shared" si="1"/>
        <v>0.1166061801707621</v>
      </c>
      <c r="AE17" s="21">
        <f t="shared" si="1"/>
        <v>0.89234625859841399</v>
      </c>
      <c r="AF17" s="21">
        <f t="shared" si="1"/>
        <v>0.15535522369462806</v>
      </c>
      <c r="AG17" s="21">
        <f t="shared" si="1"/>
        <v>0.35589482360483271</v>
      </c>
      <c r="AH17" s="21">
        <f t="shared" si="2"/>
        <v>0.12419447204388206</v>
      </c>
      <c r="AI17" s="21">
        <f t="shared" si="2"/>
        <v>1.1391185572726097</v>
      </c>
      <c r="AJ17" s="21">
        <f t="shared" si="2"/>
        <v>1.0069320054287489</v>
      </c>
      <c r="AK17" s="21">
        <f t="shared" si="2"/>
        <v>0.74645152525989367</v>
      </c>
      <c r="AL17" s="21">
        <f t="shared" si="2"/>
        <v>0.66722146337108013</v>
      </c>
      <c r="AM17" s="21">
        <f t="shared" si="2"/>
        <v>0.47869905543796387</v>
      </c>
      <c r="AN17" s="21">
        <f t="shared" si="2"/>
        <v>0.65202097823035932</v>
      </c>
      <c r="AO17" s="21">
        <f t="shared" si="2"/>
        <v>0.14816875525466319</v>
      </c>
      <c r="AP17" s="21">
        <f t="shared" si="2"/>
        <v>0.3329338672432402</v>
      </c>
      <c r="AQ17" s="3">
        <f t="shared" si="16"/>
        <v>299711535.88531095</v>
      </c>
    </row>
    <row r="18" spans="1:43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3"/>
        <v>2.6000000000000155E-4</v>
      </c>
      <c r="G18" s="22">
        <f t="shared" si="4"/>
        <v>741.41586624719116</v>
      </c>
      <c r="H18" s="22">
        <f t="shared" si="5"/>
        <v>6295.7516777939454</v>
      </c>
      <c r="I18">
        <f t="shared" si="6"/>
        <v>5554.3358115467545</v>
      </c>
      <c r="K18">
        <f t="shared" si="7"/>
        <v>55614118756069.852</v>
      </c>
      <c r="L18">
        <f t="shared" si="8"/>
        <v>11282709104.382448</v>
      </c>
      <c r="M18">
        <f t="shared" si="9"/>
        <v>85029969149.228851</v>
      </c>
      <c r="O18" s="22">
        <f t="shared" si="10"/>
        <v>286349455.18270081</v>
      </c>
      <c r="P18">
        <f t="shared" si="11"/>
        <v>7463942.0840681409</v>
      </c>
      <c r="Q18" s="22">
        <f t="shared" si="12"/>
        <v>13498974.760790946</v>
      </c>
      <c r="R18" s="2">
        <f t="shared" si="17"/>
        <v>4.7141611469727208E-2</v>
      </c>
      <c r="S18" s="2">
        <f t="shared" si="13"/>
        <v>-0.98985892924413543</v>
      </c>
      <c r="T18" s="34">
        <f t="shared" si="14"/>
        <v>0.97982069980434627</v>
      </c>
      <c r="U18" s="12">
        <v>6</v>
      </c>
      <c r="V18" s="30" t="str">
        <f t="shared" si="15"/>
        <v>0.135E+08</v>
      </c>
      <c r="W18" s="24">
        <f t="shared" si="0"/>
        <v>300462067.44130909</v>
      </c>
      <c r="X18" s="18">
        <f t="shared" si="1"/>
        <v>0.59012523009381557</v>
      </c>
      <c r="Y18" s="19">
        <f t="shared" si="1"/>
        <v>0.89131781345694161</v>
      </c>
      <c r="Z18" s="19">
        <f t="shared" si="1"/>
        <v>0.58420199233884196</v>
      </c>
      <c r="AA18" s="19">
        <f t="shared" si="1"/>
        <v>0.15986389262209838</v>
      </c>
      <c r="AB18" s="19">
        <f t="shared" si="1"/>
        <v>0.73102720524226494</v>
      </c>
      <c r="AC18" s="19">
        <f t="shared" si="1"/>
        <v>0</v>
      </c>
      <c r="AD18" s="19">
        <f t="shared" si="1"/>
        <v>0.85162914054972205</v>
      </c>
      <c r="AE18" s="19">
        <f t="shared" si="1"/>
        <v>0.16312133552307903</v>
      </c>
      <c r="AF18" s="19">
        <f t="shared" si="1"/>
        <v>0.88808014675551317</v>
      </c>
      <c r="AG18" s="19">
        <f t="shared" si="1"/>
        <v>0.37932342037462641</v>
      </c>
      <c r="AH18" s="19">
        <f t="shared" si="2"/>
        <v>0.61088988048029624</v>
      </c>
      <c r="AI18" s="19">
        <f t="shared" si="2"/>
        <v>0.41265061363609495</v>
      </c>
      <c r="AJ18" s="19">
        <f t="shared" si="2"/>
        <v>0.28690852678865825</v>
      </c>
      <c r="AK18" s="19">
        <f t="shared" si="2"/>
        <v>2.3581522749742116E-2</v>
      </c>
      <c r="AL18" s="19">
        <f t="shared" si="2"/>
        <v>5.9172521791194539E-2</v>
      </c>
      <c r="AM18" s="19">
        <f t="shared" si="2"/>
        <v>0.24977032882416128</v>
      </c>
      <c r="AN18" s="19">
        <f t="shared" si="2"/>
        <v>7.7209693227313456E-2</v>
      </c>
      <c r="AO18" s="19">
        <f t="shared" si="2"/>
        <v>0.58393935978219891</v>
      </c>
      <c r="AP18" s="19">
        <f t="shared" si="2"/>
        <v>0.40254090019904137</v>
      </c>
      <c r="AQ18" s="3">
        <f t="shared" si="16"/>
        <v>299711535.88531095</v>
      </c>
    </row>
    <row r="19" spans="1:43">
      <c r="A19">
        <v>7</v>
      </c>
      <c r="B19">
        <v>115</v>
      </c>
      <c r="C19">
        <v>1435</v>
      </c>
      <c r="D19" s="1">
        <v>9.9399999999999992E-3</v>
      </c>
      <c r="E19" s="1">
        <v>1.031E-2</v>
      </c>
      <c r="F19">
        <f t="shared" si="3"/>
        <v>3.7000000000000054E-4</v>
      </c>
      <c r="G19" s="22">
        <f t="shared" si="4"/>
        <v>722.56631032565247</v>
      </c>
      <c r="H19" s="22">
        <f t="shared" si="5"/>
        <v>9016.3709158027068</v>
      </c>
      <c r="I19">
        <f t="shared" si="6"/>
        <v>8293.8046054770548</v>
      </c>
      <c r="K19">
        <f t="shared" si="7"/>
        <v>61231040590192.242</v>
      </c>
      <c r="L19">
        <f t="shared" si="8"/>
        <v>12422241592.42606</v>
      </c>
      <c r="M19">
        <f t="shared" si="9"/>
        <v>93617836779.819122</v>
      </c>
      <c r="O19" s="22">
        <f t="shared" si="10"/>
        <v>300462067.44130909</v>
      </c>
      <c r="P19">
        <f t="shared" si="11"/>
        <v>7831799.3250953825</v>
      </c>
      <c r="Q19" s="22">
        <f t="shared" si="12"/>
        <v>13705800.554025002</v>
      </c>
      <c r="R19" s="2">
        <f t="shared" si="17"/>
        <v>4.5615743347376891E-2</v>
      </c>
      <c r="S19" s="2">
        <f t="shared" si="13"/>
        <v>5.4760139915923177E-2</v>
      </c>
      <c r="T19" s="34">
        <f t="shared" si="14"/>
        <v>2.9986729236114828E-3</v>
      </c>
      <c r="U19" s="12">
        <v>7</v>
      </c>
      <c r="V19" s="30" t="str">
        <f t="shared" si="15"/>
        <v>0.137E+08</v>
      </c>
      <c r="W19" s="24">
        <f t="shared" si="0"/>
        <v>284081982.12129939</v>
      </c>
      <c r="X19" s="20">
        <f t="shared" si="1"/>
        <v>1.4191424352303894</v>
      </c>
      <c r="Y19" s="21">
        <f t="shared" si="1"/>
        <v>4.5642697517662673E-2</v>
      </c>
      <c r="Z19" s="21">
        <f t="shared" si="1"/>
        <v>1.4315198541041816</v>
      </c>
      <c r="AA19" s="21">
        <f t="shared" si="1"/>
        <v>0.99800554414227882</v>
      </c>
      <c r="AB19" s="21">
        <f t="shared" si="1"/>
        <v>0.1166061801707621</v>
      </c>
      <c r="AC19" s="21">
        <f t="shared" si="1"/>
        <v>0.85162914054972205</v>
      </c>
      <c r="AD19" s="21">
        <f t="shared" si="1"/>
        <v>0</v>
      </c>
      <c r="AE19" s="21">
        <f t="shared" si="1"/>
        <v>1.0135466774511885</v>
      </c>
      <c r="AF19" s="21">
        <f t="shared" si="1"/>
        <v>3.9312940743215147E-2</v>
      </c>
      <c r="AG19" s="21">
        <f t="shared" si="1"/>
        <v>0.47510504136216203</v>
      </c>
      <c r="AH19" s="21">
        <f t="shared" si="2"/>
        <v>0.24211230764392</v>
      </c>
      <c r="AI19" s="21">
        <f t="shared" si="2"/>
        <v>1.2612344858381188</v>
      </c>
      <c r="AJ19" s="21">
        <f t="shared" si="2"/>
        <v>1.1271930749841839</v>
      </c>
      <c r="AK19" s="21">
        <f t="shared" si="2"/>
        <v>0.86576712149960233</v>
      </c>
      <c r="AL19" s="21">
        <f t="shared" si="2"/>
        <v>0.78669352960023908</v>
      </c>
      <c r="AM19" s="21">
        <f t="shared" si="2"/>
        <v>0.59748183270794608</v>
      </c>
      <c r="AN19" s="21">
        <f t="shared" si="2"/>
        <v>0.77188280258758812</v>
      </c>
      <c r="AO19" s="21">
        <f t="shared" si="2"/>
        <v>0.26574302426778845</v>
      </c>
      <c r="AP19" s="21">
        <f t="shared" si="2"/>
        <v>0.45205890129609516</v>
      </c>
      <c r="AQ19" s="3">
        <f t="shared" si="16"/>
        <v>299711535.88531095</v>
      </c>
    </row>
    <row r="20" spans="1:43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3"/>
        <v>2.6000000000000155E-4</v>
      </c>
      <c r="G20" s="22">
        <f t="shared" si="4"/>
        <v>628.31853071795865</v>
      </c>
      <c r="H20" s="22">
        <f t="shared" si="5"/>
        <v>6138.6720451144556</v>
      </c>
      <c r="I20">
        <f t="shared" si="6"/>
        <v>5510.3535143964973</v>
      </c>
      <c r="K20">
        <f t="shared" si="7"/>
        <v>54736839367459.281</v>
      </c>
      <c r="L20">
        <f t="shared" si="8"/>
        <v>11104731131.048412</v>
      </c>
      <c r="M20">
        <f t="shared" si="9"/>
        <v>83688672352.348969</v>
      </c>
      <c r="O20" s="22">
        <f t="shared" si="10"/>
        <v>284081982.12129939</v>
      </c>
      <c r="P20">
        <f t="shared" si="11"/>
        <v>7404838.470280272</v>
      </c>
      <c r="Q20" s="22">
        <f t="shared" si="12"/>
        <v>13466384.850028986</v>
      </c>
      <c r="R20" s="2">
        <f t="shared" si="17"/>
        <v>4.7403164218556497E-2</v>
      </c>
      <c r="S20" s="2">
        <f t="shared" si="13"/>
        <v>-1.1606347165978936</v>
      </c>
      <c r="T20" s="34">
        <f t="shared" si="14"/>
        <v>1.347072945372273</v>
      </c>
      <c r="U20" s="12">
        <v>8</v>
      </c>
      <c r="V20" s="30" t="str">
        <f t="shared" si="15"/>
        <v>0.135E+08</v>
      </c>
      <c r="W20" s="24">
        <f t="shared" si="0"/>
        <v>303576360.90893263</v>
      </c>
      <c r="X20" s="18">
        <f t="shared" si="1"/>
        <v>0.43058770401064844</v>
      </c>
      <c r="Y20" s="19">
        <f t="shared" si="1"/>
        <v>1.0520406901083688</v>
      </c>
      <c r="Z20" s="19">
        <f t="shared" si="1"/>
        <v>0.42108065681576295</v>
      </c>
      <c r="AA20" s="19">
        <f t="shared" si="1"/>
        <v>8.5898402932887725E-4</v>
      </c>
      <c r="AB20" s="19">
        <f t="shared" si="1"/>
        <v>0.89234625859841399</v>
      </c>
      <c r="AC20" s="19">
        <f t="shared" si="1"/>
        <v>0.16312133552307903</v>
      </c>
      <c r="AD20" s="19">
        <f t="shared" si="1"/>
        <v>1.0135466774511885</v>
      </c>
      <c r="AE20" s="19">
        <f t="shared" si="1"/>
        <v>0</v>
      </c>
      <c r="AF20" s="19">
        <f t="shared" si="1"/>
        <v>1.0493992001116621</v>
      </c>
      <c r="AG20" s="19">
        <f t="shared" si="1"/>
        <v>0.54244475589770547</v>
      </c>
      <c r="AH20" s="19">
        <f t="shared" si="2"/>
        <v>0.77340818580494664</v>
      </c>
      <c r="AI20" s="19">
        <f t="shared" si="2"/>
        <v>0.24952927811301592</v>
      </c>
      <c r="AJ20" s="19">
        <f t="shared" si="2"/>
        <v>0.12558947343250917</v>
      </c>
      <c r="AK20" s="19">
        <f t="shared" si="2"/>
        <v>0.13773753060640692</v>
      </c>
      <c r="AL20" s="19">
        <f t="shared" si="2"/>
        <v>0.22109005869266105</v>
      </c>
      <c r="AM20" s="19">
        <f t="shared" si="2"/>
        <v>0.41168786572562777</v>
      </c>
      <c r="AN20" s="19">
        <f t="shared" si="2"/>
        <v>0.23972799855196375</v>
      </c>
      <c r="AO20" s="19">
        <f t="shared" si="2"/>
        <v>0.74585689668366539</v>
      </c>
      <c r="AP20" s="19">
        <f t="shared" si="2"/>
        <v>0.56566223572212038</v>
      </c>
      <c r="AQ20" s="3">
        <f t="shared" si="16"/>
        <v>299711535.88531095</v>
      </c>
    </row>
    <row r="21" spans="1:43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3"/>
        <v>2.2000000000000144E-4</v>
      </c>
      <c r="G21" s="22">
        <f t="shared" si="4"/>
        <v>672.30082786821572</v>
      </c>
      <c r="H21" s="22">
        <f t="shared" si="5"/>
        <v>5654.8667764616275</v>
      </c>
      <c r="I21">
        <f t="shared" si="6"/>
        <v>4982.565948593412</v>
      </c>
      <c r="K21">
        <f t="shared" si="7"/>
        <v>62506940014076.258</v>
      </c>
      <c r="L21">
        <f t="shared" si="8"/>
        <v>12681089567.870451</v>
      </c>
      <c r="M21">
        <f t="shared" si="9"/>
        <v>95568594808.121704</v>
      </c>
      <c r="O21" s="22">
        <f t="shared" si="10"/>
        <v>303576360.90893263</v>
      </c>
      <c r="P21">
        <f t="shared" si="11"/>
        <v>7912976.0329759782</v>
      </c>
      <c r="Q21" s="22">
        <f t="shared" si="12"/>
        <v>13752348.085203478</v>
      </c>
      <c r="R21" s="2">
        <f t="shared" si="17"/>
        <v>4.5301116477013612E-2</v>
      </c>
      <c r="S21" s="2">
        <f t="shared" si="13"/>
        <v>0.28103019205716206</v>
      </c>
      <c r="T21" s="34">
        <f t="shared" si="14"/>
        <v>7.897796884768539E-2</v>
      </c>
      <c r="U21" s="12">
        <v>9</v>
      </c>
      <c r="V21" s="30" t="str">
        <f t="shared" si="15"/>
        <v>0.138E+08</v>
      </c>
      <c r="W21" s="24">
        <f t="shared" si="0"/>
        <v>283317519.77488542</v>
      </c>
      <c r="X21" s="20">
        <f t="shared" si="1"/>
        <v>1.4528678531141983</v>
      </c>
      <c r="Y21" s="21">
        <f t="shared" si="1"/>
        <v>6.4497235755730719E-3</v>
      </c>
      <c r="Z21" s="21">
        <f t="shared" si="1"/>
        <v>1.4658274541244156</v>
      </c>
      <c r="AA21" s="21">
        <f t="shared" si="1"/>
        <v>1.0334513601631736</v>
      </c>
      <c r="AB21" s="21">
        <f t="shared" si="1"/>
        <v>0.15535522369462806</v>
      </c>
      <c r="AC21" s="21">
        <f t="shared" si="1"/>
        <v>0.88808014675551317</v>
      </c>
      <c r="AD21" s="21">
        <f t="shared" si="1"/>
        <v>3.9312940743215147E-2</v>
      </c>
      <c r="AE21" s="21">
        <f t="shared" si="1"/>
        <v>1.0493992001116621</v>
      </c>
      <c r="AF21" s="21">
        <f t="shared" si="1"/>
        <v>0</v>
      </c>
      <c r="AG21" s="21">
        <f t="shared" si="1"/>
        <v>0.51294776511808093</v>
      </c>
      <c r="AH21" s="21">
        <f t="shared" si="2"/>
        <v>0.28067950681906456</v>
      </c>
      <c r="AI21" s="21">
        <f t="shared" si="2"/>
        <v>1.2961714987858579</v>
      </c>
      <c r="AJ21" s="21">
        <f t="shared" si="2"/>
        <v>1.162287229123377</v>
      </c>
      <c r="AK21" s="21">
        <f t="shared" si="2"/>
        <v>0.90180674895452173</v>
      </c>
      <c r="AL21" s="21">
        <f t="shared" si="2"/>
        <v>0.82314058428505732</v>
      </c>
      <c r="AM21" s="21">
        <f t="shared" si="2"/>
        <v>0.63461817635194118</v>
      </c>
      <c r="AN21" s="21">
        <f t="shared" si="2"/>
        <v>0.80850601300554181</v>
      </c>
      <c r="AO21" s="21">
        <f t="shared" si="2"/>
        <v>0.30408787616864047</v>
      </c>
      <c r="AP21" s="21">
        <f t="shared" si="2"/>
        <v>0.48998680875648837</v>
      </c>
      <c r="AQ21" s="3">
        <f t="shared" si="16"/>
        <v>299711535.88531095</v>
      </c>
    </row>
    <row r="22" spans="1:43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8">ABS(E22-D22)</f>
        <v>2.5000000000000022E-4</v>
      </c>
      <c r="G22" s="22">
        <f t="shared" ref="G22:G32" si="19">2*PI()*B22</f>
        <v>684.86719848257485</v>
      </c>
      <c r="H22" s="22">
        <f t="shared" ref="H22:H32" si="20">2*PI()*C22</f>
        <v>5969.0260418206071</v>
      </c>
      <c r="I22">
        <f t="shared" si="6"/>
        <v>5284.1588433380321</v>
      </c>
      <c r="K22">
        <f t="shared" ref="K22:K32" si="21">((4*$B$3*(2*$B$4+$B$3-2*$B$2)*$B$2*(H22-G22))/(($B$5-$B$2)^2*F22)*$C$3)^2</f>
        <v>54442642945207.234</v>
      </c>
      <c r="L22">
        <f t="shared" ref="L22:L32" si="22">((4*$B$6*$B$2*(G22-H22)/(($B$5-$B$2)^2*F22))*$C$4)^2</f>
        <v>11045046059.594187</v>
      </c>
      <c r="M22">
        <f t="shared" ref="M22:M32" si="23">((4*$B$6*$B$5*(H22-G22)/(($B$5-$B$2)^2*F22))*$C$2)^2</f>
        <v>83238867280.050262</v>
      </c>
      <c r="O22" s="22">
        <f t="shared" ref="O22:O32" si="24">4*$B$2*$B$6*ABS(H22-G22)/(($B$5-$B$2)*F22)</f>
        <v>283317519.77488542</v>
      </c>
      <c r="P22">
        <f t="shared" ref="P22:P32" si="25">SQRT(K22+L22+M22)</f>
        <v>7384912.1090603964</v>
      </c>
      <c r="Q22" s="22">
        <f t="shared" si="12"/>
        <v>13455438.120577658</v>
      </c>
      <c r="R22" s="2">
        <f t="shared" si="17"/>
        <v>4.749243227622809E-2</v>
      </c>
      <c r="S22" s="2">
        <f t="shared" si="13"/>
        <v>-1.2183933338709982</v>
      </c>
      <c r="T22" s="34">
        <f t="shared" si="14"/>
        <v>1.4844823160212859</v>
      </c>
      <c r="U22" s="12">
        <v>10</v>
      </c>
      <c r="V22" s="30" t="str">
        <f t="shared" si="15"/>
        <v>0.135E+08</v>
      </c>
      <c r="W22" s="24">
        <f t="shared" si="0"/>
        <v>293220069.0454452</v>
      </c>
      <c r="X22" s="18">
        <f t="shared" si="1"/>
        <v>0.96111483656016905</v>
      </c>
      <c r="Y22" s="19">
        <f t="shared" si="1"/>
        <v>0.51757178502743018</v>
      </c>
      <c r="Z22" s="19">
        <f t="shared" si="1"/>
        <v>0.96352541271346837</v>
      </c>
      <c r="AA22" s="19">
        <f t="shared" si="1"/>
        <v>0.53360992105160976</v>
      </c>
      <c r="AB22" s="19">
        <f t="shared" si="1"/>
        <v>0.35589482360483271</v>
      </c>
      <c r="AC22" s="19">
        <f t="shared" si="1"/>
        <v>0.37932342037462641</v>
      </c>
      <c r="AD22" s="19">
        <f t="shared" si="1"/>
        <v>0.47510504136216203</v>
      </c>
      <c r="AE22" s="19">
        <f t="shared" si="1"/>
        <v>0.54244475589770547</v>
      </c>
      <c r="AF22" s="19">
        <f t="shared" si="1"/>
        <v>0.51294776511808093</v>
      </c>
      <c r="AG22" s="19">
        <f t="shared" si="1"/>
        <v>0</v>
      </c>
      <c r="AH22" s="19">
        <f t="shared" si="2"/>
        <v>0.23296875047267596</v>
      </c>
      <c r="AI22" s="19">
        <f t="shared" si="2"/>
        <v>0.79197403401072131</v>
      </c>
      <c r="AJ22" s="19">
        <f t="shared" si="2"/>
        <v>0.66204090842609042</v>
      </c>
      <c r="AK22" s="19">
        <f t="shared" si="2"/>
        <v>0.3987139043871743</v>
      </c>
      <c r="AL22" s="19">
        <f t="shared" si="2"/>
        <v>0.31735157739636544</v>
      </c>
      <c r="AM22" s="19">
        <f t="shared" si="2"/>
        <v>0.12675377036339872</v>
      </c>
      <c r="AN22" s="19">
        <f t="shared" si="2"/>
        <v>0.30071143678030687</v>
      </c>
      <c r="AO22" s="19">
        <f t="shared" si="2"/>
        <v>0.20741526059463894</v>
      </c>
      <c r="AP22" s="19">
        <f t="shared" si="2"/>
        <v>2.3217479824414983E-2</v>
      </c>
      <c r="AQ22" s="3">
        <f t="shared" si="16"/>
        <v>299711535.88531095</v>
      </c>
    </row>
    <row r="23" spans="1:43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8"/>
        <v>3.8000000000000013E-4</v>
      </c>
      <c r="G23" s="22">
        <f t="shared" si="19"/>
        <v>747.69905155437073</v>
      </c>
      <c r="H23" s="22">
        <f t="shared" si="20"/>
        <v>9060.3532129529631</v>
      </c>
      <c r="I23">
        <f t="shared" si="6"/>
        <v>8312.6541613985919</v>
      </c>
      <c r="K23">
        <f t="shared" si="21"/>
        <v>58314924941886.984</v>
      </c>
      <c r="L23">
        <f t="shared" si="22"/>
        <v>11830634904.943039</v>
      </c>
      <c r="M23">
        <f t="shared" si="23"/>
        <v>89159306659.10376</v>
      </c>
      <c r="O23" s="22">
        <f t="shared" si="24"/>
        <v>293220069.0454452</v>
      </c>
      <c r="P23">
        <f t="shared" si="25"/>
        <v>7643030.4777261633</v>
      </c>
      <c r="Q23" s="22">
        <f t="shared" si="12"/>
        <v>13598816.236775853</v>
      </c>
      <c r="R23" s="2">
        <f t="shared" si="17"/>
        <v>4.6377508473569785E-2</v>
      </c>
      <c r="S23" s="2">
        <f t="shared" si="13"/>
        <v>-0.47735528790444248</v>
      </c>
      <c r="T23" s="34">
        <f t="shared" si="14"/>
        <v>0.22786807089033317</v>
      </c>
      <c r="U23" s="12">
        <v>11</v>
      </c>
      <c r="V23" s="30" t="str">
        <f t="shared" si="15"/>
        <v>0.136E+08</v>
      </c>
      <c r="W23" s="24">
        <f t="shared" si="0"/>
        <v>288755753.12541312</v>
      </c>
      <c r="X23" s="20">
        <f t="shared" ref="X23:AG31" si="26">ABS(($W23-X$12)/SQRT($V23^2+X$11^2))</f>
        <v>1.1856022835616613</v>
      </c>
      <c r="Y23" s="21">
        <f t="shared" si="26"/>
        <v>0.28614595061881914</v>
      </c>
      <c r="Z23" s="21">
        <f t="shared" si="26"/>
        <v>1.1929321832712758</v>
      </c>
      <c r="AA23" s="21">
        <f t="shared" si="26"/>
        <v>0.76126255252779285</v>
      </c>
      <c r="AB23" s="21">
        <f t="shared" si="26"/>
        <v>0.12419447204388206</v>
      </c>
      <c r="AC23" s="21">
        <f t="shared" si="26"/>
        <v>0.61088988048029624</v>
      </c>
      <c r="AD23" s="21">
        <f t="shared" si="26"/>
        <v>0.24211230764392</v>
      </c>
      <c r="AE23" s="21">
        <f t="shared" si="26"/>
        <v>0.77340818580494664</v>
      </c>
      <c r="AF23" s="21">
        <f t="shared" si="26"/>
        <v>0.28067950681906456</v>
      </c>
      <c r="AG23" s="21">
        <f t="shared" si="26"/>
        <v>0.23296875047267596</v>
      </c>
      <c r="AH23" s="21">
        <f t="shared" ref="AH23:AP31" si="27">ABS(($W23-AH$12)/SQRT($V23^2+AH$11^2))</f>
        <v>0</v>
      </c>
      <c r="AI23" s="21">
        <f t="shared" si="27"/>
        <v>1.0220149991182983</v>
      </c>
      <c r="AJ23" s="21">
        <f t="shared" si="27"/>
        <v>0.89006038298105739</v>
      </c>
      <c r="AK23" s="21">
        <f t="shared" si="27"/>
        <v>0.62768557492438426</v>
      </c>
      <c r="AL23" s="21">
        <f t="shared" si="27"/>
        <v>0.54745758618981488</v>
      </c>
      <c r="AM23" s="21">
        <f t="shared" si="27"/>
        <v>0.35755408017869439</v>
      </c>
      <c r="AN23" s="21">
        <f t="shared" si="27"/>
        <v>0.53172174776470049</v>
      </c>
      <c r="AO23" s="21">
        <f t="shared" si="27"/>
        <v>2.4602344966475113E-2</v>
      </c>
      <c r="AP23" s="21">
        <f t="shared" si="27"/>
        <v>0.20983710148958309</v>
      </c>
      <c r="AQ23" s="3">
        <f t="shared" si="16"/>
        <v>299711535.88531095</v>
      </c>
    </row>
    <row r="24" spans="1:43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8"/>
        <v>3.8500000000000166E-4</v>
      </c>
      <c r="G24" s="22">
        <f t="shared" si="19"/>
        <v>753.98223686155029</v>
      </c>
      <c r="H24" s="22">
        <f t="shared" si="20"/>
        <v>9047.7868423386044</v>
      </c>
      <c r="I24">
        <f t="shared" si="6"/>
        <v>8293.8046054770548</v>
      </c>
      <c r="K24">
        <f t="shared" si="21"/>
        <v>56552737101010.422</v>
      </c>
      <c r="L24">
        <f t="shared" si="22"/>
        <v>11473131212.704456</v>
      </c>
      <c r="M24">
        <f t="shared" si="23"/>
        <v>86465048778.257126</v>
      </c>
      <c r="O24" s="22">
        <f t="shared" si="24"/>
        <v>288755753.12541312</v>
      </c>
      <c r="P24">
        <f t="shared" si="25"/>
        <v>7526664.2864552811</v>
      </c>
      <c r="Q24" s="22">
        <f t="shared" si="12"/>
        <v>13533756.442287149</v>
      </c>
      <c r="R24" s="2">
        <f t="shared" si="17"/>
        <v>4.6869218347345393E-2</v>
      </c>
      <c r="S24" s="2">
        <f t="shared" si="13"/>
        <v>-0.80951528916729543</v>
      </c>
      <c r="T24" s="34">
        <f t="shared" si="14"/>
        <v>0.65531500339560989</v>
      </c>
      <c r="U24" s="12">
        <v>12</v>
      </c>
      <c r="V24" s="30" t="str">
        <f t="shared" si="15"/>
        <v>0.135E+08</v>
      </c>
      <c r="W24" s="24">
        <f t="shared" si="0"/>
        <v>308340344.71470666</v>
      </c>
      <c r="X24" s="18">
        <f t="shared" si="26"/>
        <v>0.18654063568685608</v>
      </c>
      <c r="Y24" s="19">
        <f t="shared" si="26"/>
        <v>1.2979010078802504</v>
      </c>
      <c r="Z24" s="19">
        <f t="shared" si="26"/>
        <v>0.17155137870274703</v>
      </c>
      <c r="AA24" s="19">
        <f t="shared" si="26"/>
        <v>0.24671930180121057</v>
      </c>
      <c r="AB24" s="19">
        <f t="shared" si="26"/>
        <v>1.1391185572726097</v>
      </c>
      <c r="AC24" s="19">
        <f t="shared" si="26"/>
        <v>0.41265061363609495</v>
      </c>
      <c r="AD24" s="19">
        <f t="shared" si="26"/>
        <v>1.2612344858381188</v>
      </c>
      <c r="AE24" s="19">
        <f t="shared" si="26"/>
        <v>0.24952927811301592</v>
      </c>
      <c r="AF24" s="19">
        <f t="shared" si="26"/>
        <v>1.2961714987858579</v>
      </c>
      <c r="AG24" s="19">
        <f t="shared" si="26"/>
        <v>0.79197403401072131</v>
      </c>
      <c r="AH24" s="19">
        <f t="shared" si="27"/>
        <v>1.0220149991182983</v>
      </c>
      <c r="AI24" s="19">
        <f t="shared" si="27"/>
        <v>0</v>
      </c>
      <c r="AJ24" s="19">
        <f t="shared" si="27"/>
        <v>0.12118282524168666</v>
      </c>
      <c r="AK24" s="19">
        <f t="shared" si="27"/>
        <v>0.38450982928060279</v>
      </c>
      <c r="AL24" s="19">
        <f t="shared" si="27"/>
        <v>0.46877786707959129</v>
      </c>
      <c r="AM24" s="19">
        <f t="shared" si="27"/>
        <v>0.65937567411255804</v>
      </c>
      <c r="AN24" s="19">
        <f t="shared" si="27"/>
        <v>0.48833481186531541</v>
      </c>
      <c r="AO24" s="19">
        <f t="shared" si="27"/>
        <v>0.99354470507059567</v>
      </c>
      <c r="AP24" s="19">
        <f t="shared" si="27"/>
        <v>0.81519151383513633</v>
      </c>
      <c r="AQ24" s="3">
        <f t="shared" si="16"/>
        <v>299711535.88531095</v>
      </c>
    </row>
    <row r="25" spans="1:43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8"/>
        <v>3.6000000000000094E-4</v>
      </c>
      <c r="G25" s="22">
        <f t="shared" si="19"/>
        <v>640.88490133231778</v>
      </c>
      <c r="H25" s="22">
        <f t="shared" si="20"/>
        <v>8922.1231361950122</v>
      </c>
      <c r="I25">
        <f t="shared" si="6"/>
        <v>8281.2382348626943</v>
      </c>
      <c r="K25">
        <f t="shared" si="21"/>
        <v>64484159691531.391</v>
      </c>
      <c r="L25">
        <f t="shared" si="22"/>
        <v>13082217823.701212</v>
      </c>
      <c r="M25">
        <f t="shared" si="23"/>
        <v>98591620829.853058</v>
      </c>
      <c r="O25" s="22">
        <f t="shared" si="24"/>
        <v>308340344.71470666</v>
      </c>
      <c r="P25">
        <f t="shared" si="25"/>
        <v>8037153.322550525</v>
      </c>
      <c r="Q25" s="22">
        <f t="shared" si="12"/>
        <v>13824171.645647796</v>
      </c>
      <c r="R25" s="2">
        <f t="shared" si="17"/>
        <v>4.4834131772274806E-2</v>
      </c>
      <c r="S25" s="2">
        <f t="shared" si="13"/>
        <v>0.62418270335295511</v>
      </c>
      <c r="T25" s="34">
        <f t="shared" si="14"/>
        <v>0.38960404716500319</v>
      </c>
      <c r="U25" s="12">
        <v>13</v>
      </c>
      <c r="V25" s="30" t="str">
        <f t="shared" si="15"/>
        <v>0.138E+08</v>
      </c>
      <c r="W25" s="24">
        <f t="shared" si="0"/>
        <v>306000888.3815161</v>
      </c>
      <c r="X25" s="20">
        <f t="shared" si="26"/>
        <v>0.30314479987469645</v>
      </c>
      <c r="Y25" s="21">
        <f t="shared" si="26"/>
        <v>1.1645334233628395</v>
      </c>
      <c r="Z25" s="21">
        <f t="shared" si="26"/>
        <v>0.29083878058024437</v>
      </c>
      <c r="AA25" s="21">
        <f t="shared" si="26"/>
        <v>0.12463233962409283</v>
      </c>
      <c r="AB25" s="21">
        <f t="shared" si="26"/>
        <v>1.0069320054287489</v>
      </c>
      <c r="AC25" s="21">
        <f t="shared" si="26"/>
        <v>0.28690852678865825</v>
      </c>
      <c r="AD25" s="21">
        <f t="shared" si="26"/>
        <v>1.1271930749841839</v>
      </c>
      <c r="AE25" s="21">
        <f t="shared" si="26"/>
        <v>0.12558947343250917</v>
      </c>
      <c r="AF25" s="21">
        <f t="shared" si="26"/>
        <v>1.162287229123377</v>
      </c>
      <c r="AG25" s="21">
        <f t="shared" si="26"/>
        <v>0.66204090842609042</v>
      </c>
      <c r="AH25" s="21">
        <f t="shared" si="27"/>
        <v>0.89006038298105739</v>
      </c>
      <c r="AI25" s="21">
        <f t="shared" si="27"/>
        <v>0.12118282524168666</v>
      </c>
      <c r="AJ25" s="21">
        <f t="shared" si="27"/>
        <v>0</v>
      </c>
      <c r="AK25" s="21">
        <f t="shared" si="27"/>
        <v>0.26048048016885528</v>
      </c>
      <c r="AL25" s="21">
        <f t="shared" si="27"/>
        <v>0.34336543144234166</v>
      </c>
      <c r="AM25" s="21">
        <f t="shared" si="27"/>
        <v>0.53188783937545792</v>
      </c>
      <c r="AN25" s="21">
        <f t="shared" si="27"/>
        <v>0.36223387679458013</v>
      </c>
      <c r="AO25" s="21">
        <f t="shared" si="27"/>
        <v>0.86241813955875857</v>
      </c>
      <c r="AP25" s="21">
        <f t="shared" si="27"/>
        <v>0.68500186478768299</v>
      </c>
      <c r="AQ25" s="3">
        <f t="shared" si="16"/>
        <v>299711535.88531095</v>
      </c>
    </row>
    <row r="26" spans="1:43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8"/>
        <v>3.5999999999999921E-4</v>
      </c>
      <c r="G26" s="22">
        <f t="shared" si="19"/>
        <v>797.96453401180747</v>
      </c>
      <c r="H26" s="22">
        <f t="shared" si="20"/>
        <v>9016.3709158027068</v>
      </c>
      <c r="I26">
        <f t="shared" si="6"/>
        <v>8218.4063817908991</v>
      </c>
      <c r="K26">
        <f t="shared" si="21"/>
        <v>63509356491818.234</v>
      </c>
      <c r="L26">
        <f t="shared" si="22"/>
        <v>12884454716.375439</v>
      </c>
      <c r="M26">
        <f t="shared" si="23"/>
        <v>97101217172.434128</v>
      </c>
      <c r="O26" s="22">
        <f t="shared" si="24"/>
        <v>306000888.3815161</v>
      </c>
      <c r="P26">
        <f t="shared" si="25"/>
        <v>7976173.4035630804</v>
      </c>
      <c r="Q26" s="22">
        <f t="shared" si="12"/>
        <v>13788808.154509025</v>
      </c>
      <c r="R26" s="2">
        <f t="shared" si="17"/>
        <v>4.5061333734813871E-2</v>
      </c>
      <c r="S26" s="2">
        <f t="shared" si="13"/>
        <v>0.45612009578568935</v>
      </c>
      <c r="T26" s="34">
        <f t="shared" si="14"/>
        <v>0.20804554177954643</v>
      </c>
      <c r="U26" s="12">
        <v>14</v>
      </c>
      <c r="V26" s="30" t="str">
        <f t="shared" si="15"/>
        <v>0.138E+08</v>
      </c>
      <c r="W26" s="24">
        <f t="shared" si="0"/>
        <v>300917312.99803823</v>
      </c>
      <c r="X26" s="18">
        <f t="shared" si="26"/>
        <v>0.56080951945946089</v>
      </c>
      <c r="Y26" s="19">
        <f t="shared" si="26"/>
        <v>0.90499499719960186</v>
      </c>
      <c r="Z26" s="19">
        <f t="shared" si="26"/>
        <v>0.55416578461916044</v>
      </c>
      <c r="AA26" s="19">
        <f t="shared" si="26"/>
        <v>0.13490608653914479</v>
      </c>
      <c r="AB26" s="19">
        <f t="shared" si="26"/>
        <v>0.74645152525989367</v>
      </c>
      <c r="AC26" s="19">
        <f t="shared" si="26"/>
        <v>2.3581522749742116E-2</v>
      </c>
      <c r="AD26" s="19">
        <f t="shared" si="26"/>
        <v>0.86576712149960233</v>
      </c>
      <c r="AE26" s="19">
        <f t="shared" si="26"/>
        <v>0.13773753060640692</v>
      </c>
      <c r="AF26" s="19">
        <f t="shared" si="26"/>
        <v>0.90180674895452173</v>
      </c>
      <c r="AG26" s="19">
        <f t="shared" si="26"/>
        <v>0.3987139043871743</v>
      </c>
      <c r="AH26" s="19">
        <f t="shared" si="27"/>
        <v>0.62768557492438426</v>
      </c>
      <c r="AI26" s="19">
        <f t="shared" si="27"/>
        <v>0.38450982928060279</v>
      </c>
      <c r="AJ26" s="19">
        <f t="shared" si="27"/>
        <v>0.26048048016885528</v>
      </c>
      <c r="AK26" s="19">
        <f t="shared" si="27"/>
        <v>0</v>
      </c>
      <c r="AL26" s="19">
        <f t="shared" si="27"/>
        <v>8.193947795776009E-2</v>
      </c>
      <c r="AM26" s="19">
        <f t="shared" si="27"/>
        <v>0.27046188589087633</v>
      </c>
      <c r="AN26" s="19">
        <f t="shared" si="27"/>
        <v>9.9859068737907022E-2</v>
      </c>
      <c r="AO26" s="19">
        <f t="shared" si="27"/>
        <v>0.60099218607417704</v>
      </c>
      <c r="AP26" s="19">
        <f t="shared" si="27"/>
        <v>0.42167486074876687</v>
      </c>
      <c r="AQ26" s="3">
        <f t="shared" si="16"/>
        <v>299711535.88531095</v>
      </c>
    </row>
    <row r="27" spans="1:43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8"/>
        <v>3.7000000000000054E-4</v>
      </c>
      <c r="G27" s="22">
        <f t="shared" si="19"/>
        <v>716.28312501847279</v>
      </c>
      <c r="H27" s="22">
        <f t="shared" si="20"/>
        <v>9022.6541011098852</v>
      </c>
      <c r="I27">
        <f t="shared" si="6"/>
        <v>8306.3709760914116</v>
      </c>
      <c r="K27">
        <f t="shared" si="21"/>
        <v>61416729765168.453</v>
      </c>
      <c r="L27">
        <f t="shared" si="22"/>
        <v>12459913266.309423</v>
      </c>
      <c r="M27">
        <f t="shared" si="23"/>
        <v>93901742111.284058</v>
      </c>
      <c r="O27" s="22">
        <f t="shared" si="24"/>
        <v>300917312.99803823</v>
      </c>
      <c r="P27">
        <f t="shared" si="25"/>
        <v>7843665.687709162</v>
      </c>
      <c r="Q27" s="22">
        <f t="shared" si="12"/>
        <v>13712584.715460962</v>
      </c>
      <c r="R27" s="2">
        <f t="shared" si="17"/>
        <v>4.5569278081219466E-2</v>
      </c>
      <c r="S27" s="2">
        <f t="shared" si="13"/>
        <v>8.79321541304878E-2</v>
      </c>
      <c r="T27" s="34">
        <f t="shared" si="14"/>
        <v>7.7320637300278628E-3</v>
      </c>
      <c r="U27" s="12">
        <v>15</v>
      </c>
      <c r="V27" s="30" t="str">
        <f t="shared" si="15"/>
        <v>0.137E+08</v>
      </c>
      <c r="W27" s="24">
        <f t="shared" si="0"/>
        <v>299323953.54948729</v>
      </c>
      <c r="X27" s="20">
        <f t="shared" si="26"/>
        <v>0.64384848685678964</v>
      </c>
      <c r="Y27" s="21">
        <f t="shared" si="26"/>
        <v>0.82661504521637308</v>
      </c>
      <c r="Z27" s="21">
        <f t="shared" si="26"/>
        <v>0.63906323534565412</v>
      </c>
      <c r="AA27" s="21">
        <f t="shared" si="26"/>
        <v>0.21703319644356844</v>
      </c>
      <c r="AB27" s="21">
        <f t="shared" si="26"/>
        <v>0.66722146337108013</v>
      </c>
      <c r="AC27" s="21">
        <f t="shared" si="26"/>
        <v>5.9172521791194539E-2</v>
      </c>
      <c r="AD27" s="21">
        <f t="shared" si="26"/>
        <v>0.78669352960023908</v>
      </c>
      <c r="AE27" s="21">
        <f t="shared" si="26"/>
        <v>0.22109005869266105</v>
      </c>
      <c r="AF27" s="21">
        <f t="shared" si="26"/>
        <v>0.82314058428505732</v>
      </c>
      <c r="AG27" s="21">
        <f t="shared" si="26"/>
        <v>0.31735157739636544</v>
      </c>
      <c r="AH27" s="21">
        <f t="shared" si="27"/>
        <v>0.54745758618981488</v>
      </c>
      <c r="AI27" s="21">
        <f t="shared" si="27"/>
        <v>0.46877786707959129</v>
      </c>
      <c r="AJ27" s="21">
        <f t="shared" si="27"/>
        <v>0.34336543144234166</v>
      </c>
      <c r="AK27" s="21">
        <f t="shared" si="27"/>
        <v>8.193947795776009E-2</v>
      </c>
      <c r="AL27" s="21">
        <f t="shared" si="27"/>
        <v>0</v>
      </c>
      <c r="AM27" s="21">
        <f t="shared" si="27"/>
        <v>0.18921169689229297</v>
      </c>
      <c r="AN27" s="21">
        <f t="shared" si="27"/>
        <v>1.7687091246146664E-2</v>
      </c>
      <c r="AO27" s="21">
        <f t="shared" si="27"/>
        <v>0.52095050533245069</v>
      </c>
      <c r="AP27" s="21">
        <f t="shared" si="27"/>
        <v>0.3403977174624323</v>
      </c>
      <c r="AQ27" s="3">
        <f t="shared" si="16"/>
        <v>299711535.88531095</v>
      </c>
    </row>
    <row r="28" spans="1:43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8"/>
        <v>3.699999999999988E-4</v>
      </c>
      <c r="G28" s="22">
        <f t="shared" si="19"/>
        <v>672.30082786821572</v>
      </c>
      <c r="H28" s="22">
        <f t="shared" si="20"/>
        <v>8934.6895068093709</v>
      </c>
      <c r="I28">
        <f t="shared" si="6"/>
        <v>8262.3886789411554</v>
      </c>
      <c r="K28">
        <f t="shared" si="21"/>
        <v>60768047615114.844</v>
      </c>
      <c r="L28">
        <f t="shared" si="22"/>
        <v>12328311936.216221</v>
      </c>
      <c r="M28">
        <f t="shared" si="23"/>
        <v>92909953974.738373</v>
      </c>
      <c r="O28" s="22">
        <f t="shared" si="24"/>
        <v>299323953.54948729</v>
      </c>
      <c r="P28">
        <f t="shared" si="25"/>
        <v>7802133.418560965</v>
      </c>
      <c r="Q28" s="22">
        <f t="shared" si="12"/>
        <v>13688870.444239486</v>
      </c>
      <c r="R28" s="2">
        <f t="shared" si="17"/>
        <v>4.5732626079243277E-2</v>
      </c>
      <c r="S28" s="2">
        <f t="shared" si="13"/>
        <v>-2.8313682812796032E-2</v>
      </c>
      <c r="T28" s="34">
        <f t="shared" si="14"/>
        <v>8.0166463442362139E-4</v>
      </c>
      <c r="U28" s="12">
        <v>16</v>
      </c>
      <c r="V28" s="30" t="str">
        <f t="shared" si="15"/>
        <v>0.137E+08</v>
      </c>
      <c r="W28" s="24">
        <f t="shared" si="0"/>
        <v>295658028.80319279</v>
      </c>
      <c r="X28" s="18">
        <f t="shared" si="26"/>
        <v>0.83031841198333534</v>
      </c>
      <c r="Y28" s="19">
        <f t="shared" si="26"/>
        <v>0.63877937913542771</v>
      </c>
      <c r="Z28" s="19">
        <f t="shared" si="26"/>
        <v>0.82966104237862082</v>
      </c>
      <c r="AA28" s="19">
        <f t="shared" si="26"/>
        <v>0.40486886252451382</v>
      </c>
      <c r="AB28" s="19">
        <f t="shared" si="26"/>
        <v>0.47869905543796387</v>
      </c>
      <c r="AC28" s="19">
        <f t="shared" si="26"/>
        <v>0.24977032882416128</v>
      </c>
      <c r="AD28" s="19">
        <f t="shared" si="26"/>
        <v>0.59748183270794608</v>
      </c>
      <c r="AE28" s="19">
        <f t="shared" si="26"/>
        <v>0.41168786572562777</v>
      </c>
      <c r="AF28" s="19">
        <f t="shared" si="26"/>
        <v>0.63461817635194118</v>
      </c>
      <c r="AG28" s="19">
        <f t="shared" si="26"/>
        <v>0.12675377036339872</v>
      </c>
      <c r="AH28" s="19">
        <f t="shared" si="27"/>
        <v>0.35755408017869439</v>
      </c>
      <c r="AI28" s="19">
        <f t="shared" si="27"/>
        <v>0.65937567411255804</v>
      </c>
      <c r="AJ28" s="19">
        <f t="shared" si="27"/>
        <v>0.53188783937545792</v>
      </c>
      <c r="AK28" s="19">
        <f t="shared" si="27"/>
        <v>0.27046188589087633</v>
      </c>
      <c r="AL28" s="19">
        <f t="shared" si="27"/>
        <v>0.18921169689229297</v>
      </c>
      <c r="AM28" s="19">
        <f t="shared" si="27"/>
        <v>0</v>
      </c>
      <c r="AN28" s="19">
        <f t="shared" si="27"/>
        <v>0.17221641476497379</v>
      </c>
      <c r="AO28" s="19">
        <f t="shared" si="27"/>
        <v>0.33173880844015768</v>
      </c>
      <c r="AP28" s="19">
        <f t="shared" si="27"/>
        <v>0.14979991042946558</v>
      </c>
      <c r="AQ28" s="3">
        <f t="shared" si="16"/>
        <v>299711535.88531095</v>
      </c>
    </row>
    <row r="29" spans="1:43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8"/>
        <v>3.8000000000000013E-4</v>
      </c>
      <c r="G29" s="22">
        <f t="shared" si="19"/>
        <v>684.86719848257485</v>
      </c>
      <c r="H29" s="22">
        <f t="shared" si="20"/>
        <v>9066.6363982601433</v>
      </c>
      <c r="I29">
        <f t="shared" si="6"/>
        <v>8381.7691997775692</v>
      </c>
      <c r="K29">
        <f t="shared" si="21"/>
        <v>59288667770393.273</v>
      </c>
      <c r="L29">
        <f t="shared" si="22"/>
        <v>12028182889.560091</v>
      </c>
      <c r="M29">
        <f t="shared" si="23"/>
        <v>90648089085.565109</v>
      </c>
      <c r="O29" s="22">
        <f t="shared" si="24"/>
        <v>295658028.80319279</v>
      </c>
      <c r="P29">
        <f t="shared" si="25"/>
        <v>7706577.9722499661</v>
      </c>
      <c r="Q29" s="22">
        <f t="shared" si="12"/>
        <v>13634633.555784179</v>
      </c>
      <c r="R29" s="2">
        <f t="shared" si="17"/>
        <v>4.6116229655512535E-2</v>
      </c>
      <c r="S29" s="2">
        <f t="shared" si="13"/>
        <v>-0.29729490459232377</v>
      </c>
      <c r="T29" s="34">
        <f t="shared" si="14"/>
        <v>8.8384260296558895E-2</v>
      </c>
      <c r="U29" s="12">
        <v>17</v>
      </c>
      <c r="V29" s="30" t="str">
        <f t="shared" si="15"/>
        <v>0.136E+08</v>
      </c>
      <c r="W29" s="24">
        <f t="shared" si="0"/>
        <v>298982519.38194001</v>
      </c>
      <c r="X29" s="20">
        <f t="shared" si="26"/>
        <v>0.66356344023655323</v>
      </c>
      <c r="Y29" s="21">
        <f t="shared" si="26"/>
        <v>0.81203580581029589</v>
      </c>
      <c r="Z29" s="21">
        <f t="shared" si="26"/>
        <v>0.65925199601829299</v>
      </c>
      <c r="AA29" s="21">
        <f t="shared" si="26"/>
        <v>0.23537269733631605</v>
      </c>
      <c r="AB29" s="21">
        <f t="shared" si="26"/>
        <v>0.65202097823035932</v>
      </c>
      <c r="AC29" s="21">
        <f t="shared" si="26"/>
        <v>7.7209693227313456E-2</v>
      </c>
      <c r="AD29" s="21">
        <f t="shared" si="26"/>
        <v>0.77188280258758812</v>
      </c>
      <c r="AE29" s="21">
        <f t="shared" si="26"/>
        <v>0.23972799855196375</v>
      </c>
      <c r="AF29" s="21">
        <f t="shared" si="26"/>
        <v>0.80850601300554181</v>
      </c>
      <c r="AG29" s="21">
        <f t="shared" si="26"/>
        <v>0.30071143678030687</v>
      </c>
      <c r="AH29" s="21">
        <f t="shared" si="27"/>
        <v>0.53172174776470049</v>
      </c>
      <c r="AI29" s="21">
        <f t="shared" si="27"/>
        <v>0.48833481186531541</v>
      </c>
      <c r="AJ29" s="21">
        <f t="shared" si="27"/>
        <v>0.36223387679458013</v>
      </c>
      <c r="AK29" s="21">
        <f t="shared" si="27"/>
        <v>9.9859068737907022E-2</v>
      </c>
      <c r="AL29" s="21">
        <f t="shared" si="27"/>
        <v>1.7687091246146664E-2</v>
      </c>
      <c r="AM29" s="21">
        <f t="shared" si="27"/>
        <v>0.17221641476497379</v>
      </c>
      <c r="AN29" s="21">
        <f t="shared" si="27"/>
        <v>0</v>
      </c>
      <c r="AO29" s="21">
        <f t="shared" si="27"/>
        <v>0.50516814997719306</v>
      </c>
      <c r="AP29" s="21">
        <f t="shared" si="27"/>
        <v>0.32384308576339976</v>
      </c>
      <c r="AQ29" s="3">
        <f t="shared" si="16"/>
        <v>299711535.88531095</v>
      </c>
    </row>
    <row r="30" spans="1:43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8"/>
        <v>3.5999999999999921E-4</v>
      </c>
      <c r="G30" s="22">
        <f t="shared" si="19"/>
        <v>904.77868423386042</v>
      </c>
      <c r="H30" s="22">
        <f t="shared" si="20"/>
        <v>8934.6895068093709</v>
      </c>
      <c r="I30">
        <f t="shared" si="6"/>
        <v>8029.9108225755108</v>
      </c>
      <c r="K30">
        <f t="shared" si="21"/>
        <v>60629492354963.82</v>
      </c>
      <c r="L30">
        <f t="shared" si="22"/>
        <v>12300202550.863504</v>
      </c>
      <c r="M30">
        <f t="shared" si="23"/>
        <v>92698112993.354141</v>
      </c>
      <c r="O30" s="22">
        <f t="shared" si="24"/>
        <v>298982519.38194001</v>
      </c>
      <c r="P30">
        <f t="shared" si="25"/>
        <v>7793233.6466006227</v>
      </c>
      <c r="Q30" s="22">
        <f t="shared" si="12"/>
        <v>13683799.868043071</v>
      </c>
      <c r="R30" s="2">
        <f t="shared" si="17"/>
        <v>4.5767892706002927E-2</v>
      </c>
      <c r="S30" s="2">
        <f t="shared" si="13"/>
        <v>-5.3275881728837196E-2</v>
      </c>
      <c r="T30" s="34">
        <f t="shared" si="14"/>
        <v>2.8383195739850489E-3</v>
      </c>
      <c r="U30" s="12">
        <v>18</v>
      </c>
      <c r="V30" s="30" t="str">
        <f t="shared" si="15"/>
        <v>0.137E+08</v>
      </c>
      <c r="W30" s="24">
        <f t="shared" si="0"/>
        <v>289230680.35094941</v>
      </c>
      <c r="X30" s="18">
        <f t="shared" si="26"/>
        <v>1.1572501597949865</v>
      </c>
      <c r="Y30" s="19">
        <f t="shared" si="26"/>
        <v>0.30945312144784448</v>
      </c>
      <c r="Z30" s="19">
        <f t="shared" si="26"/>
        <v>1.1638300733366584</v>
      </c>
      <c r="AA30" s="19">
        <f t="shared" si="26"/>
        <v>0.73419512021209699</v>
      </c>
      <c r="AB30" s="19">
        <f t="shared" si="26"/>
        <v>0.14816875525466319</v>
      </c>
      <c r="AC30" s="19">
        <f t="shared" si="26"/>
        <v>0.58393935978219891</v>
      </c>
      <c r="AD30" s="19">
        <f t="shared" si="26"/>
        <v>0.26574302426778845</v>
      </c>
      <c r="AE30" s="19">
        <f t="shared" si="26"/>
        <v>0.74585689668366539</v>
      </c>
      <c r="AF30" s="19">
        <f t="shared" si="26"/>
        <v>0.30408787616864047</v>
      </c>
      <c r="AG30" s="19">
        <f t="shared" si="26"/>
        <v>0.20741526059463894</v>
      </c>
      <c r="AH30" s="19">
        <f t="shared" si="27"/>
        <v>2.4602344966475113E-2</v>
      </c>
      <c r="AI30" s="19">
        <f t="shared" si="27"/>
        <v>0.99354470507059567</v>
      </c>
      <c r="AJ30" s="19">
        <f t="shared" si="27"/>
        <v>0.86241813955875857</v>
      </c>
      <c r="AK30" s="19">
        <f t="shared" si="27"/>
        <v>0.60099218607417704</v>
      </c>
      <c r="AL30" s="19">
        <f t="shared" si="27"/>
        <v>0.52095050533245069</v>
      </c>
      <c r="AM30" s="19">
        <f t="shared" si="27"/>
        <v>0.33173880844015768</v>
      </c>
      <c r="AN30" s="19">
        <f t="shared" si="27"/>
        <v>0.50516814997719306</v>
      </c>
      <c r="AO30" s="19">
        <f t="shared" si="27"/>
        <v>0</v>
      </c>
      <c r="AP30" s="19">
        <f t="shared" si="27"/>
        <v>0.18436912052857207</v>
      </c>
      <c r="AQ30" s="3">
        <f t="shared" si="16"/>
        <v>299711535.88531095</v>
      </c>
    </row>
    <row r="31" spans="1:43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8"/>
        <v>3.8000000000000013E-4</v>
      </c>
      <c r="G31" s="22">
        <f t="shared" si="19"/>
        <v>804.24771931898704</v>
      </c>
      <c r="H31" s="22">
        <f t="shared" si="20"/>
        <v>9003.8045451883463</v>
      </c>
      <c r="I31">
        <f t="shared" si="6"/>
        <v>8199.5568258693602</v>
      </c>
      <c r="K31">
        <f t="shared" si="21"/>
        <v>56738918825636.266</v>
      </c>
      <c r="L31">
        <f t="shared" si="22"/>
        <v>11510902812.551596</v>
      </c>
      <c r="M31">
        <f t="shared" si="23"/>
        <v>86749707182.546906</v>
      </c>
      <c r="O31" s="22">
        <f t="shared" si="24"/>
        <v>289230680.35094941</v>
      </c>
      <c r="P31">
        <f t="shared" si="25"/>
        <v>7539043.6685054004</v>
      </c>
      <c r="Q31" s="22">
        <f t="shared" si="12"/>
        <v>13540645.021334061</v>
      </c>
      <c r="R31" s="2">
        <f t="shared" si="17"/>
        <v>4.6816074300637778E-2</v>
      </c>
      <c r="S31" s="2">
        <f t="shared" si="13"/>
        <v>-0.77402926654146487</v>
      </c>
      <c r="T31" s="34">
        <f t="shared" si="14"/>
        <v>0.59912130546271802</v>
      </c>
      <c r="U31" s="12">
        <v>19</v>
      </c>
      <c r="V31" s="30" t="str">
        <f t="shared" si="15"/>
        <v>0.135E+08</v>
      </c>
      <c r="W31" s="24">
        <f t="shared" si="0"/>
        <v>292776803.63494575</v>
      </c>
      <c r="X31" s="20">
        <f t="shared" si="26"/>
        <v>0.98382222355645166</v>
      </c>
      <c r="Y31" s="21">
        <f t="shared" si="26"/>
        <v>0.49469568403174846</v>
      </c>
      <c r="Z31" s="21">
        <f t="shared" si="26"/>
        <v>0.98674289253788339</v>
      </c>
      <c r="AA31" s="21">
        <f t="shared" si="26"/>
        <v>0.55648602204729147</v>
      </c>
      <c r="AB31" s="21">
        <f t="shared" si="26"/>
        <v>0.3329338672432402</v>
      </c>
      <c r="AC31" s="21">
        <f t="shared" si="26"/>
        <v>0.40254090019904137</v>
      </c>
      <c r="AD31" s="21">
        <f t="shared" si="26"/>
        <v>0.45205890129609516</v>
      </c>
      <c r="AE31" s="21">
        <f t="shared" si="26"/>
        <v>0.56566223572212038</v>
      </c>
      <c r="AF31" s="21">
        <f t="shared" si="26"/>
        <v>0.48998680875648837</v>
      </c>
      <c r="AG31" s="21">
        <f t="shared" si="26"/>
        <v>2.3217479824414983E-2</v>
      </c>
      <c r="AH31" s="21">
        <f t="shared" si="27"/>
        <v>0.20983710148958309</v>
      </c>
      <c r="AI31" s="21">
        <f t="shared" si="27"/>
        <v>0.81519151383513633</v>
      </c>
      <c r="AJ31" s="21">
        <f t="shared" si="27"/>
        <v>0.68500186478768299</v>
      </c>
      <c r="AK31" s="21">
        <f t="shared" si="27"/>
        <v>0.42167486074876687</v>
      </c>
      <c r="AL31" s="21">
        <f t="shared" si="27"/>
        <v>0.3403977174624323</v>
      </c>
      <c r="AM31" s="21">
        <f t="shared" si="27"/>
        <v>0.14979991042946558</v>
      </c>
      <c r="AN31" s="21">
        <f t="shared" si="27"/>
        <v>0.32384308576339976</v>
      </c>
      <c r="AO31" s="21">
        <f t="shared" si="27"/>
        <v>0.18436912052857207</v>
      </c>
      <c r="AP31" s="21">
        <f t="shared" si="27"/>
        <v>0</v>
      </c>
      <c r="AQ31" s="3">
        <f t="shared" si="16"/>
        <v>299711535.88531095</v>
      </c>
    </row>
    <row r="32" spans="1:43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8"/>
        <v>3.8000000000000013E-4</v>
      </c>
      <c r="G32" s="22">
        <f t="shared" si="19"/>
        <v>747.69905155437073</v>
      </c>
      <c r="H32" s="22">
        <f t="shared" si="20"/>
        <v>9047.7868423386044</v>
      </c>
      <c r="I32">
        <f t="shared" si="6"/>
        <v>8300.0877907842332</v>
      </c>
      <c r="K32">
        <f t="shared" si="21"/>
        <v>58138747021568.758</v>
      </c>
      <c r="L32">
        <f t="shared" si="22"/>
        <v>11794892825.952553</v>
      </c>
      <c r="M32">
        <f t="shared" si="23"/>
        <v>88889943348.769882</v>
      </c>
      <c r="O32" s="22">
        <f t="shared" si="24"/>
        <v>292776803.63494575</v>
      </c>
      <c r="P32">
        <f t="shared" si="25"/>
        <v>7631476.3878127467</v>
      </c>
      <c r="Q32" s="22">
        <f t="shared" si="12"/>
        <v>13592325.776550936</v>
      </c>
      <c r="R32" s="2">
        <f t="shared" si="17"/>
        <v>4.6425555603437703E-2</v>
      </c>
      <c r="S32" s="2">
        <f t="shared" si="13"/>
        <v>-0.51019467634661797</v>
      </c>
      <c r="T32" s="34">
        <f t="shared" si="14"/>
        <v>0.26029860777243025</v>
      </c>
      <c r="V32" s="28"/>
      <c r="X32" s="33">
        <f>SUMSQ(X13:X31)</f>
        <v>15.264073425156507</v>
      </c>
      <c r="Y32" s="33">
        <f t="shared" ref="Y32:AP32" si="28">SUMSQ(Y13:Y31)</f>
        <v>13.569992207121517</v>
      </c>
      <c r="Z32" s="33">
        <f t="shared" si="28"/>
        <v>15.386572520223252</v>
      </c>
      <c r="AA32" s="33">
        <f t="shared" si="28"/>
        <v>6.3630647967515692</v>
      </c>
      <c r="AB32" s="33">
        <f t="shared" si="28"/>
        <v>9.8102906339648772</v>
      </c>
      <c r="AC32" s="33">
        <f t="shared" si="28"/>
        <v>4.9296096654694361</v>
      </c>
      <c r="AD32" s="33">
        <f t="shared" si="28"/>
        <v>12.570827686230389</v>
      </c>
      <c r="AE32" s="33">
        <f t="shared" si="28"/>
        <v>6.5624402460537139</v>
      </c>
      <c r="AF32" s="33">
        <f t="shared" si="28"/>
        <v>13.495807316233691</v>
      </c>
      <c r="AG32" s="33">
        <f t="shared" si="28"/>
        <v>4.9879112595936812</v>
      </c>
      <c r="AH32" s="33">
        <f t="shared" si="28"/>
        <v>7.654215831452797</v>
      </c>
      <c r="AI32" s="33">
        <f t="shared" si="28"/>
        <v>10.98949294093412</v>
      </c>
      <c r="AJ32" s="33">
        <f t="shared" si="28"/>
        <v>8.3396838779531617</v>
      </c>
      <c r="AK32" s="33">
        <f t="shared" si="28"/>
        <v>4.9958450345145025</v>
      </c>
      <c r="AL32" s="33">
        <f t="shared" si="28"/>
        <v>4.5155147007891259</v>
      </c>
      <c r="AM32" s="33">
        <f t="shared" si="28"/>
        <v>4.3031659068716408</v>
      </c>
      <c r="AN32" s="33">
        <f t="shared" si="28"/>
        <v>4.4706313496112529</v>
      </c>
      <c r="AO32" s="33">
        <f t="shared" si="28"/>
        <v>7.2172035387410034</v>
      </c>
      <c r="AP32" s="33">
        <f t="shared" si="28"/>
        <v>5.1665924840098016</v>
      </c>
    </row>
    <row r="33" spans="5:44">
      <c r="R33" s="2"/>
      <c r="S33" s="2"/>
      <c r="AQ33" t="s">
        <v>56</v>
      </c>
      <c r="AR33" t="s">
        <v>57</v>
      </c>
    </row>
    <row r="34" spans="5:44">
      <c r="R34" s="2"/>
      <c r="S34" s="2"/>
      <c r="AQ34">
        <f>SUM(X32:AP32)/2</f>
        <v>80.296467710838016</v>
      </c>
      <c r="AR34">
        <f>AQ34/171</f>
        <v>0.4695699866130878</v>
      </c>
    </row>
    <row r="35" spans="5:44">
      <c r="F35" t="s">
        <v>66</v>
      </c>
      <c r="I35" t="s">
        <v>64</v>
      </c>
      <c r="O35" t="s">
        <v>62</v>
      </c>
      <c r="P35" t="s">
        <v>63</v>
      </c>
      <c r="Q35" t="s">
        <v>43</v>
      </c>
      <c r="R35" t="s">
        <v>41</v>
      </c>
      <c r="S35" t="s">
        <v>67</v>
      </c>
      <c r="T35" t="s">
        <v>70</v>
      </c>
      <c r="AK35" s="33"/>
    </row>
    <row r="36" spans="5:44">
      <c r="E36" t="s">
        <v>65</v>
      </c>
      <c r="F36">
        <f>AVERAGE(F13:F32)</f>
        <v>3.1175000000000029E-4</v>
      </c>
      <c r="I36">
        <f>AVERAGE(I13:I32)</f>
        <v>6927.2118011654939</v>
      </c>
      <c r="K36">
        <f>((4*$B$3*(2*$B$4+$B$3-2*$B$2)*$B$2*(I36))/(($B$5-$B$2)^2*F36)*$C$3)^2</f>
        <v>60168820470624.453</v>
      </c>
      <c r="L36">
        <f>((4*$B$6*$B$2*(I36)/(($B$5-$B$2)^2*F36))*$C$4)^2</f>
        <v>12206743785.718523</v>
      </c>
      <c r="M36">
        <f>((4*$B$6*$B$5*(I36)/(($B$5-$B$2)^2*F36))*$C$2)^2</f>
        <v>91993778968.300125</v>
      </c>
      <c r="O36" s="22">
        <f>AVERAGE(O13:O32)</f>
        <v>298375236.82280678</v>
      </c>
      <c r="P36" s="1">
        <f>_xlfn.STDEV.S(O13:O32)/SQRT(COUNT(O13:O32))</f>
        <v>2515073.439863611</v>
      </c>
      <c r="Q36">
        <f>SQRT(L36+M36+K36)</f>
        <v>7763570.1190482248</v>
      </c>
      <c r="R36">
        <f>SQRT(SUMSQ(P36:Q36))</f>
        <v>8160797.4733653236</v>
      </c>
      <c r="S36">
        <f>R36/O36</f>
        <v>2.7350786748471682E-2</v>
      </c>
      <c r="T36" s="1">
        <f>_xlfn.STDEV.S(O13:O32)</f>
        <v>11247750.359878527</v>
      </c>
      <c r="AK36" s="33"/>
    </row>
    <row r="37" spans="5:44">
      <c r="AK37" s="33"/>
    </row>
    <row r="38" spans="5:44">
      <c r="P38" s="1"/>
      <c r="AK38" s="33"/>
    </row>
    <row r="39" spans="5:44">
      <c r="AK39" s="33"/>
    </row>
    <row r="40" spans="5:44">
      <c r="AK40" s="33"/>
    </row>
    <row r="41" spans="5:44">
      <c r="AK41" s="33"/>
    </row>
    <row r="42" spans="5:44">
      <c r="AK42" s="33"/>
    </row>
    <row r="43" spans="5:44">
      <c r="AK43" s="33"/>
    </row>
    <row r="44" spans="5:44">
      <c r="AK44" s="33"/>
    </row>
    <row r="45" spans="5:44">
      <c r="AK45" s="33"/>
    </row>
    <row r="46" spans="5:44">
      <c r="AK46" s="33"/>
    </row>
    <row r="47" spans="5:44">
      <c r="AK47" s="33"/>
    </row>
    <row r="48" spans="5:44">
      <c r="AK48" s="33"/>
    </row>
    <row r="49" spans="37:37">
      <c r="AK49" s="33"/>
    </row>
    <row r="50" spans="37:37">
      <c r="AK50" s="33"/>
    </row>
    <row r="51" spans="37:37">
      <c r="AK51" s="33"/>
    </row>
    <row r="52" spans="37:37">
      <c r="AK52" s="33"/>
    </row>
    <row r="53" spans="37:37">
      <c r="AK53" s="33"/>
    </row>
    <row r="54" spans="37:37">
      <c r="AK54" s="33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topLeftCell="K7" zoomScaleNormal="100" workbookViewId="0">
      <selection activeCell="P27" sqref="P27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8" width="9.140625" customWidth="1"/>
    <col min="9" max="9" width="11.42578125" customWidth="1"/>
    <col min="11" max="12" width="11.85546875" customWidth="1"/>
    <col min="13" max="13" width="14.42578125" bestFit="1" customWidth="1"/>
    <col min="14" max="14" width="9" customWidth="1"/>
    <col min="15" max="15" width="12.28515625" customWidth="1"/>
    <col min="16" max="16" width="15.5703125" bestFit="1" customWidth="1"/>
    <col min="17" max="17" width="15.85546875" customWidth="1"/>
    <col min="18" max="18" width="15.5703125" customWidth="1"/>
    <col min="19" max="19" width="10.42578125" bestFit="1" customWidth="1"/>
    <col min="20" max="21" width="9.28515625" customWidth="1"/>
    <col min="22" max="24" width="11.85546875" customWidth="1"/>
    <col min="25" max="25" width="12" customWidth="1"/>
    <col min="26" max="26" width="11.85546875" customWidth="1"/>
    <col min="27" max="27" width="9.85546875" customWidth="1"/>
    <col min="28" max="30" width="11.85546875" customWidth="1"/>
    <col min="31" max="44" width="9.140625" customWidth="1"/>
  </cols>
  <sheetData>
    <row r="1" spans="1:34">
      <c r="A1" t="s">
        <v>0</v>
      </c>
      <c r="C1" t="s">
        <v>17</v>
      </c>
      <c r="E1" t="s">
        <v>38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13.997999999999999</v>
      </c>
      <c r="C5">
        <f>SQRT(C4^2+C3^2)</f>
        <v>0.34644768724873887</v>
      </c>
    </row>
    <row r="6" spans="1:34">
      <c r="A6" t="s">
        <v>5</v>
      </c>
      <c r="B6" s="1">
        <f>B3^2</f>
        <v>182.79039999999998</v>
      </c>
      <c r="C6" s="1">
        <f>2*B3*C3</f>
        <v>9.3669307673324873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  <c r="S9" s="2"/>
    </row>
    <row r="10" spans="1:34" ht="15.75" thickBot="1">
      <c r="A10" t="s">
        <v>0</v>
      </c>
      <c r="B10">
        <f>299792458/1.00027</f>
        <v>299711535.88531095</v>
      </c>
      <c r="S10" s="33">
        <f>SUM(T13:T22)</f>
        <v>9.0788871518898251</v>
      </c>
      <c r="T10">
        <f>S10/(COUNT(T13:T22)-2)</f>
        <v>1.1348608939862281</v>
      </c>
      <c r="U10" s="35"/>
      <c r="V10" s="13"/>
      <c r="W10" s="6" t="s">
        <v>20</v>
      </c>
      <c r="X10" s="6">
        <f t="array" ref="X10:AG12">TRANSPOSE(U13:W22)</f>
        <v>1</v>
      </c>
      <c r="Y10" s="6">
        <v>2</v>
      </c>
      <c r="Z10" s="6">
        <v>3</v>
      </c>
      <c r="AA10" s="6">
        <v>4</v>
      </c>
      <c r="AB10" s="6">
        <v>5</v>
      </c>
      <c r="AC10" s="6">
        <v>6</v>
      </c>
      <c r="AD10" s="6">
        <v>7</v>
      </c>
      <c r="AE10" s="6">
        <v>8</v>
      </c>
      <c r="AF10" s="6">
        <v>9</v>
      </c>
      <c r="AG10" s="6">
        <v>10</v>
      </c>
    </row>
    <row r="11" spans="1:34">
      <c r="I11" t="s">
        <v>14</v>
      </c>
      <c r="U11" s="12"/>
      <c r="V11" s="8" t="s">
        <v>18</v>
      </c>
      <c r="W11" s="9"/>
      <c r="X11" s="9">
        <v>16573849.969675973</v>
      </c>
      <c r="Y11" s="9">
        <v>16181365.761970507</v>
      </c>
      <c r="Z11" s="9">
        <v>16500301.00669766</v>
      </c>
      <c r="AA11" s="9">
        <v>16176897.745812226</v>
      </c>
      <c r="AB11" s="9">
        <v>16193540.990870364</v>
      </c>
      <c r="AC11" s="9">
        <v>16524360.226296645</v>
      </c>
      <c r="AD11" s="9">
        <v>16513825.24788744</v>
      </c>
      <c r="AE11" s="9">
        <v>16372414.715980068</v>
      </c>
      <c r="AF11" s="9">
        <v>16634670.807724722</v>
      </c>
      <c r="AG11" s="9">
        <v>16433908.759756211</v>
      </c>
    </row>
    <row r="12" spans="1:34" ht="15.75" thickBot="1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I12" t="s">
        <v>68</v>
      </c>
      <c r="K12" t="s">
        <v>2</v>
      </c>
      <c r="L12" t="s">
        <v>3</v>
      </c>
      <c r="M12" t="s">
        <v>1</v>
      </c>
      <c r="O12" t="s">
        <v>15</v>
      </c>
      <c r="P12" t="s">
        <v>40</v>
      </c>
      <c r="Q12" t="s">
        <v>41</v>
      </c>
      <c r="R12" t="s">
        <v>35</v>
      </c>
      <c r="S12" t="s">
        <v>36</v>
      </c>
      <c r="T12" t="s">
        <v>55</v>
      </c>
      <c r="U12" s="5" t="s">
        <v>20</v>
      </c>
      <c r="V12" s="7"/>
      <c r="W12" s="4" t="s">
        <v>19</v>
      </c>
      <c r="X12" s="10">
        <v>321641825.00914192</v>
      </c>
      <c r="Y12" s="10">
        <v>290743564.46939451</v>
      </c>
      <c r="Z12" s="10">
        <v>316027129.80948102</v>
      </c>
      <c r="AA12" s="10">
        <v>290377388.69550353</v>
      </c>
      <c r="AB12" s="10">
        <v>291739562.57437664</v>
      </c>
      <c r="AC12" s="10">
        <v>317871958.23222727</v>
      </c>
      <c r="AD12" s="10">
        <v>317065140.68672943</v>
      </c>
      <c r="AE12" s="10">
        <v>306081098.31293952</v>
      </c>
      <c r="AF12" s="10">
        <v>326230304.90970522</v>
      </c>
      <c r="AG12" s="10">
        <v>310893694.19836313</v>
      </c>
      <c r="AH12" t="s">
        <v>42</v>
      </c>
    </row>
    <row r="13" spans="1:34" ht="15.75" thickTop="1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I13">
        <f>ABS(H13-G13)</f>
        <v>5039.1146163580288</v>
      </c>
      <c r="K13">
        <f>((4*$B$3*(2*$B$4+$B$3-2*$B$2)*$B$2*(H13-G13))/(($B$5-$B$2)^2*F13)*$C$3)^2</f>
        <v>70167721285336.797</v>
      </c>
      <c r="L13">
        <f>((4*$B$6*$B$2*(G13-H13)/(($B$5-$B$2)^2*F13))*$C$4)^2</f>
        <v>14235269846.713762</v>
      </c>
      <c r="M13">
        <f>((4*$B$6*$B$5*(H13-G13)/(($B$5-$B$2)^2*F13))*$C$2)^2</f>
        <v>107281375837.90616</v>
      </c>
      <c r="O13">
        <f>4*$B$2*$B$6*ABS(H13-G13)/(($B$5-$B$2)*F13)</f>
        <v>321641825.00914192</v>
      </c>
      <c r="P13">
        <f>SQRT(K13+L13+M13)</f>
        <v>8383867.7190793874</v>
      </c>
      <c r="Q13">
        <f>SQRT(P13^2+$T$25^2)</f>
        <v>16573849.969675973</v>
      </c>
      <c r="R13" s="2">
        <f>Q13/O13</f>
        <v>5.1528901657005896E-2</v>
      </c>
      <c r="S13" s="2">
        <f>(O13-$B$10)/Q13</f>
        <v>1.3231861736383101</v>
      </c>
      <c r="T13" s="33">
        <f>S13^2</f>
        <v>1.7508216501075922</v>
      </c>
      <c r="U13" s="5">
        <v>1</v>
      </c>
      <c r="V13" s="7">
        <f>Q13</f>
        <v>16573849.969675973</v>
      </c>
      <c r="W13" s="11">
        <f t="shared" ref="W13:W22" si="0">O13</f>
        <v>321641825.00914192</v>
      </c>
      <c r="X13" s="16">
        <f t="shared" ref="X13:AG22" si="1">ABS(($W13-X$12)/SQRT($V13^2+X$11^2))</f>
        <v>0</v>
      </c>
      <c r="Y13" s="17">
        <f t="shared" si="1"/>
        <v>1.3339433600967319</v>
      </c>
      <c r="Z13" s="17">
        <f t="shared" si="1"/>
        <v>0.24007746934113688</v>
      </c>
      <c r="AA13" s="17">
        <f t="shared" si="1"/>
        <v>1.3499338379497092</v>
      </c>
      <c r="AB13" s="17">
        <f t="shared" si="1"/>
        <v>1.2904700641883273</v>
      </c>
      <c r="AC13" s="17">
        <f t="shared" si="1"/>
        <v>0.16107791729177895</v>
      </c>
      <c r="AD13" s="17">
        <f t="shared" si="1"/>
        <v>0.19561357353083458</v>
      </c>
      <c r="AE13" s="17">
        <f t="shared" si="1"/>
        <v>0.66792941906045344</v>
      </c>
      <c r="AF13" s="17">
        <f t="shared" si="1"/>
        <v>0.19540405507077216</v>
      </c>
      <c r="AG13" s="17">
        <f t="shared" si="1"/>
        <v>0.46049826893397972</v>
      </c>
      <c r="AH13">
        <f>$B$10</f>
        <v>299711535.88531095</v>
      </c>
    </row>
    <row r="14" spans="1:34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2">ABS(E14-D14)</f>
        <v>2.299999999999993E-4</v>
      </c>
      <c r="G14">
        <f t="shared" ref="G14:H22" si="3">2*PI()*B14</f>
        <v>716.28312501847279</v>
      </c>
      <c r="H14">
        <f t="shared" si="3"/>
        <v>5705.132258919064</v>
      </c>
      <c r="I14">
        <f t="shared" ref="I14:I22" si="4">ABS(H14-G14)</f>
        <v>4988.8491339005914</v>
      </c>
      <c r="K14">
        <f t="shared" ref="K14:K22" si="5">((4*$B$3*(2*$B$4+$B$3-2*$B$2)*$B$2*(H14-G14))/(($B$5-$B$2)^2*F14)*$C$3)^2</f>
        <v>57334041790841.055</v>
      </c>
      <c r="L14">
        <f t="shared" ref="L14:L22" si="6">((4*$B$6*$B$2*(G14-H14)/(($B$5-$B$2)^2*F14))*$C$4)^2</f>
        <v>11631638328.063295</v>
      </c>
      <c r="M14">
        <f t="shared" ref="M14:M22" si="7">((4*$B$6*$B$5*(H14-G14)/(($B$5-$B$2)^2*F14))*$C$2)^2</f>
        <v>87659607195.407196</v>
      </c>
      <c r="O14">
        <f t="shared" ref="O14:O22" si="8">4*$B$2*$B$6*ABS(H14-G14)/(($B$5-$B$2)*F14)</f>
        <v>290743564.46939451</v>
      </c>
      <c r="P14">
        <f t="shared" ref="P14:P22" si="9">SQRT(K14+L14+M14)</f>
        <v>7578478.2797316592</v>
      </c>
      <c r="Q14">
        <f t="shared" ref="Q14:Q22" si="10">SQRT(P14^2+$T$25^2)</f>
        <v>16181365.761970507</v>
      </c>
      <c r="R14" s="2">
        <f t="shared" ref="R14:R22" si="11">Q14/O14</f>
        <v>5.5655112406361999E-2</v>
      </c>
      <c r="S14" s="2">
        <f t="shared" ref="S14:S22" si="12">(O14-$B$10)/Q14</f>
        <v>-0.55421597582281934</v>
      </c>
      <c r="T14" s="33">
        <f t="shared" ref="T14:T22" si="13">S14^2</f>
        <v>0.30715534785723986</v>
      </c>
      <c r="U14" s="5">
        <v>2</v>
      </c>
      <c r="V14" s="7">
        <f t="shared" ref="V14:V22" si="14">Q14</f>
        <v>16181365.761970507</v>
      </c>
      <c r="W14" s="11">
        <f t="shared" si="0"/>
        <v>290743564.46939451</v>
      </c>
      <c r="X14" s="18">
        <f t="shared" si="1"/>
        <v>1.3339433600967319</v>
      </c>
      <c r="Y14" s="19">
        <f t="shared" si="1"/>
        <v>0</v>
      </c>
      <c r="Z14" s="19">
        <f t="shared" si="1"/>
        <v>1.0940279990942148</v>
      </c>
      <c r="AA14" s="19">
        <f t="shared" si="1"/>
        <v>1.6003662884686607E-2</v>
      </c>
      <c r="AB14" s="19">
        <f t="shared" si="1"/>
        <v>4.3507582564238444E-2</v>
      </c>
      <c r="AC14" s="19">
        <f t="shared" si="1"/>
        <v>1.1729821499647139</v>
      </c>
      <c r="AD14" s="19">
        <f t="shared" si="1"/>
        <v>1.1384672980732191</v>
      </c>
      <c r="AE14" s="19">
        <f t="shared" si="1"/>
        <v>0.66628743374164445</v>
      </c>
      <c r="AF14" s="19">
        <f t="shared" si="1"/>
        <v>1.5291621865864453</v>
      </c>
      <c r="AG14" s="19">
        <f t="shared" si="1"/>
        <v>0.87369286139325752</v>
      </c>
      <c r="AH14">
        <f t="shared" ref="AH14:AH22" si="15">$B$10</f>
        <v>299711535.88531095</v>
      </c>
    </row>
    <row r="15" spans="1:34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2"/>
        <v>2.1000000000000012E-4</v>
      </c>
      <c r="G15">
        <f t="shared" si="3"/>
        <v>797.96453401180747</v>
      </c>
      <c r="H15">
        <f t="shared" si="3"/>
        <v>5749.1145560693212</v>
      </c>
      <c r="I15">
        <f t="shared" si="4"/>
        <v>4951.1500220575135</v>
      </c>
      <c r="K15">
        <f t="shared" si="5"/>
        <v>67739357226948.445</v>
      </c>
      <c r="L15">
        <f t="shared" si="6"/>
        <v>13742615717.094149</v>
      </c>
      <c r="M15">
        <f t="shared" si="7"/>
        <v>103568582655.41373</v>
      </c>
      <c r="O15">
        <f t="shared" si="8"/>
        <v>316027129.80948102</v>
      </c>
      <c r="P15">
        <f t="shared" si="9"/>
        <v>8237515.9135094211</v>
      </c>
      <c r="Q15">
        <f t="shared" si="10"/>
        <v>16500301.00669766</v>
      </c>
      <c r="R15" s="2">
        <f t="shared" si="11"/>
        <v>5.2211659855421186E-2</v>
      </c>
      <c r="S15" s="2">
        <f t="shared" si="12"/>
        <v>0.98880583557520507</v>
      </c>
      <c r="T15" s="33">
        <f t="shared" si="13"/>
        <v>0.97773698046757951</v>
      </c>
      <c r="U15" s="5">
        <v>3</v>
      </c>
      <c r="V15" s="7">
        <f t="shared" si="14"/>
        <v>16500301.00669766</v>
      </c>
      <c r="W15" s="11">
        <f t="shared" si="0"/>
        <v>316027129.80948102</v>
      </c>
      <c r="X15" s="20">
        <f t="shared" si="1"/>
        <v>0.24007746934113688</v>
      </c>
      <c r="Y15" s="21">
        <f t="shared" si="1"/>
        <v>1.0940279990942148</v>
      </c>
      <c r="Z15" s="21">
        <f t="shared" si="1"/>
        <v>0</v>
      </c>
      <c r="AA15" s="21">
        <f t="shared" si="1"/>
        <v>1.1100227914907894</v>
      </c>
      <c r="AB15" s="21">
        <f t="shared" si="1"/>
        <v>1.050543253471194</v>
      </c>
      <c r="AC15" s="21">
        <f t="shared" si="1"/>
        <v>7.9000982476096257E-2</v>
      </c>
      <c r="AD15" s="21">
        <f t="shared" si="1"/>
        <v>4.4464873188013398E-2</v>
      </c>
      <c r="AE15" s="21">
        <f t="shared" si="1"/>
        <v>0.42788391176461044</v>
      </c>
      <c r="AF15" s="21">
        <f t="shared" si="1"/>
        <v>0.43547192504034671</v>
      </c>
      <c r="AG15" s="21">
        <f t="shared" si="1"/>
        <v>0.22043217562934975</v>
      </c>
      <c r="AH15">
        <f t="shared" si="15"/>
        <v>299711535.88531095</v>
      </c>
    </row>
    <row r="16" spans="1:34">
      <c r="A16">
        <v>4</v>
      </c>
      <c r="B16">
        <v>115</v>
      </c>
      <c r="C16">
        <v>908</v>
      </c>
      <c r="D16" s="1">
        <v>9.8799999999999999E-3</v>
      </c>
      <c r="E16" s="1">
        <v>9.6500000000000006E-3</v>
      </c>
      <c r="F16">
        <f t="shared" si="2"/>
        <v>2.299999999999993E-4</v>
      </c>
      <c r="G16">
        <f t="shared" si="3"/>
        <v>722.56631032565247</v>
      </c>
      <c r="H16">
        <f t="shared" si="3"/>
        <v>5705.132258919064</v>
      </c>
      <c r="I16">
        <f t="shared" si="4"/>
        <v>4982.565948593412</v>
      </c>
      <c r="K16">
        <f t="shared" si="5"/>
        <v>57189714493031.195</v>
      </c>
      <c r="L16">
        <f t="shared" si="6"/>
        <v>11602357941.114208</v>
      </c>
      <c r="M16">
        <f t="shared" si="7"/>
        <v>87438941185.504349</v>
      </c>
      <c r="O16">
        <f t="shared" si="8"/>
        <v>290377388.69550353</v>
      </c>
      <c r="P16">
        <f t="shared" si="9"/>
        <v>7568933.5967597058</v>
      </c>
      <c r="Q16">
        <f t="shared" si="10"/>
        <v>16176897.745812226</v>
      </c>
      <c r="R16" s="2">
        <f t="shared" si="11"/>
        <v>5.570990846940805E-2</v>
      </c>
      <c r="S16" s="2">
        <f t="shared" si="12"/>
        <v>-0.57700477164874087</v>
      </c>
      <c r="T16" s="33">
        <f t="shared" si="13"/>
        <v>0.33293450650541562</v>
      </c>
      <c r="U16" s="5">
        <v>4</v>
      </c>
      <c r="V16" s="7">
        <f t="shared" si="14"/>
        <v>16176897.745812226</v>
      </c>
      <c r="W16" s="11">
        <f t="shared" si="0"/>
        <v>290377388.69550353</v>
      </c>
      <c r="X16" s="18">
        <f t="shared" si="1"/>
        <v>1.3499338379497092</v>
      </c>
      <c r="Y16" s="19">
        <f t="shared" si="1"/>
        <v>1.6003662884686607E-2</v>
      </c>
      <c r="Z16" s="19">
        <f t="shared" si="1"/>
        <v>1.1100227914907894</v>
      </c>
      <c r="AA16" s="19">
        <f t="shared" si="1"/>
        <v>0</v>
      </c>
      <c r="AB16" s="19">
        <f t="shared" si="1"/>
        <v>5.9511226735628607E-2</v>
      </c>
      <c r="AC16" s="19">
        <f t="shared" si="1"/>
        <v>1.1889756176572275</v>
      </c>
      <c r="AD16" s="19">
        <f t="shared" si="1"/>
        <v>1.1544613563258883</v>
      </c>
      <c r="AE16" s="19">
        <f t="shared" si="1"/>
        <v>0.68228779027638053</v>
      </c>
      <c r="AF16" s="19">
        <f t="shared" si="1"/>
        <v>1.5451485153072888</v>
      </c>
      <c r="AG16" s="19">
        <f t="shared" si="1"/>
        <v>0.88969085896309164</v>
      </c>
      <c r="AH16">
        <f t="shared" si="15"/>
        <v>299711535.88531095</v>
      </c>
    </row>
    <row r="17" spans="1:34">
      <c r="A17">
        <v>5</v>
      </c>
      <c r="B17">
        <v>97</v>
      </c>
      <c r="C17">
        <v>963</v>
      </c>
      <c r="D17" s="1">
        <v>9.8700000000000003E-3</v>
      </c>
      <c r="E17" s="1">
        <v>9.6200000000000001E-3</v>
      </c>
      <c r="F17">
        <f t="shared" si="2"/>
        <v>2.5000000000000022E-4</v>
      </c>
      <c r="G17">
        <f t="shared" si="3"/>
        <v>609.46897479641984</v>
      </c>
      <c r="H17">
        <f t="shared" si="3"/>
        <v>6050.7074508139413</v>
      </c>
      <c r="I17">
        <f t="shared" si="4"/>
        <v>5441.238476017521</v>
      </c>
      <c r="K17">
        <f t="shared" si="5"/>
        <v>57727532243359.883</v>
      </c>
      <c r="L17">
        <f t="shared" si="6"/>
        <v>11711467666.555466</v>
      </c>
      <c r="M17">
        <f t="shared" si="7"/>
        <v>88261225665.43898</v>
      </c>
      <c r="O17">
        <f t="shared" si="8"/>
        <v>291739562.57437664</v>
      </c>
      <c r="P17">
        <f>SQRT(K17+L17+M17)</f>
        <v>7604439.8174153417</v>
      </c>
      <c r="Q17">
        <f t="shared" si="10"/>
        <v>16193540.990870364</v>
      </c>
      <c r="R17" s="2">
        <f t="shared" si="11"/>
        <v>5.5506839209515685E-2</v>
      </c>
      <c r="S17" s="2">
        <f t="shared" si="12"/>
        <v>-0.49229339743721062</v>
      </c>
      <c r="T17" s="33">
        <f t="shared" si="13"/>
        <v>0.24235278916027142</v>
      </c>
      <c r="U17" s="5">
        <v>5</v>
      </c>
      <c r="V17" s="7">
        <f t="shared" si="14"/>
        <v>16193540.990870364</v>
      </c>
      <c r="W17" s="11">
        <f t="shared" si="0"/>
        <v>291739562.57437664</v>
      </c>
      <c r="X17" s="20">
        <f t="shared" si="1"/>
        <v>1.2904700641883273</v>
      </c>
      <c r="Y17" s="21">
        <f t="shared" si="1"/>
        <v>4.3507582564238444E-2</v>
      </c>
      <c r="Z17" s="21">
        <f t="shared" si="1"/>
        <v>1.050543253471194</v>
      </c>
      <c r="AA17" s="21">
        <f t="shared" si="1"/>
        <v>5.9511226735628607E-2</v>
      </c>
      <c r="AB17" s="21">
        <f t="shared" si="1"/>
        <v>0</v>
      </c>
      <c r="AC17" s="21">
        <f t="shared" si="1"/>
        <v>1.129500913569319</v>
      </c>
      <c r="AD17" s="21">
        <f t="shared" si="1"/>
        <v>1.0949844964445374</v>
      </c>
      <c r="AE17" s="21">
        <f t="shared" si="1"/>
        <v>0.62278806092135497</v>
      </c>
      <c r="AF17" s="21">
        <f t="shared" si="1"/>
        <v>1.4856999430668709</v>
      </c>
      <c r="AG17" s="21">
        <f t="shared" si="1"/>
        <v>0.83019965938641072</v>
      </c>
      <c r="AH17">
        <f t="shared" si="15"/>
        <v>299711535.88531095</v>
      </c>
    </row>
    <row r="18" spans="1:34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2"/>
        <v>3.4999999999999962E-4</v>
      </c>
      <c r="G18">
        <f t="shared" si="3"/>
        <v>496.37163926718733</v>
      </c>
      <c r="H18">
        <f t="shared" si="3"/>
        <v>8796.45943005142</v>
      </c>
      <c r="I18">
        <f t="shared" si="4"/>
        <v>8300.0877907842332</v>
      </c>
      <c r="K18">
        <f t="shared" si="5"/>
        <v>68532531182975.953</v>
      </c>
      <c r="L18">
        <f t="shared" si="6"/>
        <v>13903530808.714731</v>
      </c>
      <c r="M18">
        <f t="shared" si="7"/>
        <v>104781288322.95848</v>
      </c>
      <c r="O18">
        <f t="shared" si="8"/>
        <v>317871958.23222727</v>
      </c>
      <c r="P18">
        <f t="shared" si="9"/>
        <v>8285602.9353395654</v>
      </c>
      <c r="Q18">
        <f t="shared" si="10"/>
        <v>16524360.226296645</v>
      </c>
      <c r="R18" s="2">
        <f t="shared" si="11"/>
        <v>5.198432827542613E-2</v>
      </c>
      <c r="S18" s="2">
        <f t="shared" si="12"/>
        <v>1.0990091052370103</v>
      </c>
      <c r="T18" s="33">
        <f t="shared" si="13"/>
        <v>1.2078210133938541</v>
      </c>
      <c r="U18" s="5">
        <v>6</v>
      </c>
      <c r="V18" s="7">
        <f t="shared" si="14"/>
        <v>16524360.226296645</v>
      </c>
      <c r="W18" s="11">
        <f t="shared" si="0"/>
        <v>317871958.23222727</v>
      </c>
      <c r="X18" s="18">
        <f t="shared" si="1"/>
        <v>0.16107791729177895</v>
      </c>
      <c r="Y18" s="19">
        <f t="shared" si="1"/>
        <v>1.1729821499647139</v>
      </c>
      <c r="Z18" s="19">
        <f t="shared" si="1"/>
        <v>7.9000982476096257E-2</v>
      </c>
      <c r="AA18" s="19">
        <f t="shared" si="1"/>
        <v>1.1889756176572275</v>
      </c>
      <c r="AB18" s="19">
        <f t="shared" si="1"/>
        <v>1.129500913569319</v>
      </c>
      <c r="AC18" s="19">
        <f t="shared" si="1"/>
        <v>0</v>
      </c>
      <c r="AD18" s="19">
        <f t="shared" si="1"/>
        <v>3.453616597940018E-2</v>
      </c>
      <c r="AE18" s="19">
        <f t="shared" si="1"/>
        <v>0.5068769255734944</v>
      </c>
      <c r="AF18" s="19">
        <f t="shared" si="1"/>
        <v>0.3564766958943309</v>
      </c>
      <c r="AG18" s="19">
        <f t="shared" si="1"/>
        <v>0.29943072792558556</v>
      </c>
      <c r="AH18">
        <f t="shared" si="15"/>
        <v>299711535.88531095</v>
      </c>
    </row>
    <row r="19" spans="1:34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2"/>
        <v>3.4000000000000002E-4</v>
      </c>
      <c r="G19">
        <f t="shared" si="3"/>
        <v>722.56631032565247</v>
      </c>
      <c r="H19">
        <f t="shared" si="3"/>
        <v>8765.0435035155224</v>
      </c>
      <c r="I19">
        <f t="shared" si="4"/>
        <v>8042.4771931898704</v>
      </c>
      <c r="K19">
        <f t="shared" si="5"/>
        <v>68185076335551.781</v>
      </c>
      <c r="L19">
        <f t="shared" si="6"/>
        <v>13833040939.270077</v>
      </c>
      <c r="M19">
        <f t="shared" si="7"/>
        <v>104250054966.78838</v>
      </c>
      <c r="O19">
        <f t="shared" si="8"/>
        <v>317065140.68672943</v>
      </c>
      <c r="P19">
        <f t="shared" si="9"/>
        <v>8264572.5498332847</v>
      </c>
      <c r="Q19">
        <f t="shared" si="10"/>
        <v>16513825.24788744</v>
      </c>
      <c r="R19" s="2">
        <f t="shared" si="11"/>
        <v>5.2083383282439208E-2</v>
      </c>
      <c r="S19" s="2">
        <f t="shared" si="12"/>
        <v>1.0508531210016574</v>
      </c>
      <c r="T19" s="33">
        <f t="shared" si="13"/>
        <v>1.104292281918924</v>
      </c>
      <c r="U19" s="5">
        <v>7</v>
      </c>
      <c r="V19" s="7">
        <f t="shared" si="14"/>
        <v>16513825.24788744</v>
      </c>
      <c r="W19" s="11">
        <f t="shared" si="0"/>
        <v>317065140.68672943</v>
      </c>
      <c r="X19" s="20">
        <f t="shared" si="1"/>
        <v>0.19561357353083458</v>
      </c>
      <c r="Y19" s="21">
        <f t="shared" si="1"/>
        <v>1.1384672980732191</v>
      </c>
      <c r="Z19" s="21">
        <f t="shared" si="1"/>
        <v>4.4464873188013398E-2</v>
      </c>
      <c r="AA19" s="21">
        <f t="shared" si="1"/>
        <v>1.1544613563258883</v>
      </c>
      <c r="AB19" s="21">
        <f t="shared" si="1"/>
        <v>1.0949844964445374</v>
      </c>
      <c r="AC19" s="21">
        <f t="shared" si="1"/>
        <v>3.453616597940018E-2</v>
      </c>
      <c r="AD19" s="21">
        <f t="shared" si="1"/>
        <v>0</v>
      </c>
      <c r="AE19" s="21">
        <f t="shared" si="1"/>
        <v>0.47234460687966562</v>
      </c>
      <c r="AF19" s="21">
        <f t="shared" si="1"/>
        <v>0.39101060252391318</v>
      </c>
      <c r="AG19" s="21">
        <f t="shared" si="1"/>
        <v>0.2648958391915302</v>
      </c>
      <c r="AH19">
        <f t="shared" si="15"/>
        <v>299711535.88531095</v>
      </c>
    </row>
    <row r="20" spans="1:34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2"/>
        <v>3.4999999999999962E-4</v>
      </c>
      <c r="G20">
        <f t="shared" si="3"/>
        <v>709.99993971129322</v>
      </c>
      <c r="H20">
        <f t="shared" si="3"/>
        <v>8702.2116504437272</v>
      </c>
      <c r="I20">
        <f t="shared" si="4"/>
        <v>7992.2117107324339</v>
      </c>
      <c r="K20">
        <f t="shared" si="5"/>
        <v>63542655406696</v>
      </c>
      <c r="L20">
        <f t="shared" si="6"/>
        <v>12891210230.59486</v>
      </c>
      <c r="M20">
        <f t="shared" si="7"/>
        <v>97152128807.250732</v>
      </c>
      <c r="O20">
        <f t="shared" si="8"/>
        <v>306081098.31293952</v>
      </c>
      <c r="P20">
        <f t="shared" si="9"/>
        <v>7978264.1436426407</v>
      </c>
      <c r="Q20">
        <f t="shared" si="10"/>
        <v>16372414.715980068</v>
      </c>
      <c r="R20" s="2">
        <f t="shared" si="11"/>
        <v>5.3490446833279436E-2</v>
      </c>
      <c r="S20" s="2">
        <f t="shared" si="12"/>
        <v>0.38904233359124807</v>
      </c>
      <c r="T20" s="33">
        <f t="shared" si="13"/>
        <v>0.15135393732612396</v>
      </c>
      <c r="U20" s="5">
        <v>8</v>
      </c>
      <c r="V20" s="7">
        <f t="shared" si="14"/>
        <v>16372414.715980068</v>
      </c>
      <c r="W20" s="11">
        <f t="shared" si="0"/>
        <v>306081098.31293952</v>
      </c>
      <c r="X20" s="18">
        <f t="shared" si="1"/>
        <v>0.66792941906045344</v>
      </c>
      <c r="Y20" s="19">
        <f t="shared" si="1"/>
        <v>0.66628743374164445</v>
      </c>
      <c r="Z20" s="19">
        <f t="shared" si="1"/>
        <v>0.42788391176461044</v>
      </c>
      <c r="AA20" s="19">
        <f t="shared" si="1"/>
        <v>0.68228779027638053</v>
      </c>
      <c r="AB20" s="19">
        <f t="shared" si="1"/>
        <v>0.62278806092135497</v>
      </c>
      <c r="AC20" s="19">
        <f t="shared" si="1"/>
        <v>0.5068769255734944</v>
      </c>
      <c r="AD20" s="19">
        <f t="shared" si="1"/>
        <v>0.47234460687966562</v>
      </c>
      <c r="AE20" s="19">
        <f t="shared" si="1"/>
        <v>0</v>
      </c>
      <c r="AF20" s="19">
        <f t="shared" si="1"/>
        <v>0.863280758510241</v>
      </c>
      <c r="AG20" s="19">
        <f t="shared" si="1"/>
        <v>0.2074608091833556</v>
      </c>
      <c r="AH20">
        <f t="shared" si="15"/>
        <v>299711535.88531095</v>
      </c>
    </row>
    <row r="21" spans="1:34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2"/>
        <v>3.4000000000000002E-4</v>
      </c>
      <c r="G21">
        <f t="shared" si="3"/>
        <v>496.37163926718733</v>
      </c>
      <c r="H21">
        <f t="shared" si="3"/>
        <v>8771.3266888227026</v>
      </c>
      <c r="I21">
        <f t="shared" si="4"/>
        <v>8274.9550495555159</v>
      </c>
      <c r="K21">
        <f t="shared" si="5"/>
        <v>72183999553329.375</v>
      </c>
      <c r="L21">
        <f t="shared" si="6"/>
        <v>14644322110.42091</v>
      </c>
      <c r="M21">
        <f t="shared" si="7"/>
        <v>110364119622.36934</v>
      </c>
      <c r="O21">
        <f t="shared" si="8"/>
        <v>326230304.90970522</v>
      </c>
      <c r="P21">
        <f t="shared" si="9"/>
        <v>8503470.3501019031</v>
      </c>
      <c r="Q21">
        <f t="shared" si="10"/>
        <v>16634670.807724722</v>
      </c>
      <c r="R21" s="2">
        <f t="shared" si="11"/>
        <v>5.0990574932420533E-2</v>
      </c>
      <c r="S21" s="2">
        <f t="shared" si="12"/>
        <v>1.5941865836070304</v>
      </c>
      <c r="T21" s="33">
        <f t="shared" si="13"/>
        <v>2.5414308633526552</v>
      </c>
      <c r="U21" s="5">
        <v>9</v>
      </c>
      <c r="V21" s="7">
        <f t="shared" si="14"/>
        <v>16634670.807724722</v>
      </c>
      <c r="W21" s="11">
        <f t="shared" si="0"/>
        <v>326230304.90970522</v>
      </c>
      <c r="X21" s="20">
        <f t="shared" si="1"/>
        <v>0.19540405507077216</v>
      </c>
      <c r="Y21" s="21">
        <f t="shared" si="1"/>
        <v>1.5291621865864453</v>
      </c>
      <c r="Z21" s="21">
        <f t="shared" si="1"/>
        <v>0.43547192504034671</v>
      </c>
      <c r="AA21" s="21">
        <f t="shared" si="1"/>
        <v>1.5451485153072888</v>
      </c>
      <c r="AB21" s="21">
        <f t="shared" si="1"/>
        <v>1.4856999430668709</v>
      </c>
      <c r="AC21" s="21">
        <f t="shared" si="1"/>
        <v>0.3564766958943309</v>
      </c>
      <c r="AD21" s="21">
        <f t="shared" si="1"/>
        <v>0.39101060252391318</v>
      </c>
      <c r="AE21" s="21">
        <f t="shared" si="1"/>
        <v>0.863280758510241</v>
      </c>
      <c r="AF21" s="21">
        <f t="shared" si="1"/>
        <v>0</v>
      </c>
      <c r="AG21" s="21">
        <f t="shared" si="1"/>
        <v>0.65587465358749064</v>
      </c>
      <c r="AH21">
        <f t="shared" si="15"/>
        <v>299711535.88531095</v>
      </c>
    </row>
    <row r="22" spans="1:34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2"/>
        <v>3.4999999999999962E-4</v>
      </c>
      <c r="G22">
        <f t="shared" si="3"/>
        <v>584.33623356770147</v>
      </c>
      <c r="H22">
        <f t="shared" si="3"/>
        <v>8702.2116504437272</v>
      </c>
      <c r="I22">
        <f t="shared" si="4"/>
        <v>8117.8754168760261</v>
      </c>
      <c r="K22">
        <f t="shared" si="5"/>
        <v>65556561211237.555</v>
      </c>
      <c r="L22">
        <f t="shared" si="6"/>
        <v>13299781181.002846</v>
      </c>
      <c r="M22">
        <f t="shared" si="7"/>
        <v>100231245266.52097</v>
      </c>
      <c r="O22">
        <f t="shared" si="8"/>
        <v>310893694.19836313</v>
      </c>
      <c r="P22">
        <f t="shared" si="9"/>
        <v>8103708.5484168958</v>
      </c>
      <c r="Q22">
        <f t="shared" si="10"/>
        <v>16433908.759756211</v>
      </c>
      <c r="R22" s="2">
        <f t="shared" si="11"/>
        <v>5.2860218995856162E-2</v>
      </c>
      <c r="S22" s="2">
        <f t="shared" si="12"/>
        <v>0.68043205524149808</v>
      </c>
      <c r="T22" s="33">
        <f t="shared" si="13"/>
        <v>0.46298778180016908</v>
      </c>
      <c r="U22" s="5">
        <v>10</v>
      </c>
      <c r="V22" s="7">
        <f t="shared" si="14"/>
        <v>16433908.759756211</v>
      </c>
      <c r="W22" s="11">
        <f t="shared" si="0"/>
        <v>310893694.19836313</v>
      </c>
      <c r="X22" s="18">
        <f t="shared" si="1"/>
        <v>0.46049826893397972</v>
      </c>
      <c r="Y22" s="19">
        <f t="shared" si="1"/>
        <v>0.87369286139325752</v>
      </c>
      <c r="Z22" s="19">
        <f t="shared" si="1"/>
        <v>0.22043217562934975</v>
      </c>
      <c r="AA22" s="19">
        <f t="shared" si="1"/>
        <v>0.88969085896309164</v>
      </c>
      <c r="AB22" s="19">
        <f t="shared" si="1"/>
        <v>0.83019965938641072</v>
      </c>
      <c r="AC22" s="19">
        <f t="shared" si="1"/>
        <v>0.29943072792558556</v>
      </c>
      <c r="AD22" s="19">
        <f t="shared" si="1"/>
        <v>0.2648958391915302</v>
      </c>
      <c r="AE22" s="19">
        <f t="shared" si="1"/>
        <v>0.2074608091833556</v>
      </c>
      <c r="AF22" s="19">
        <f t="shared" si="1"/>
        <v>0.65587465358749064</v>
      </c>
      <c r="AG22" s="19">
        <f t="shared" si="1"/>
        <v>0</v>
      </c>
      <c r="AH22">
        <f t="shared" si="15"/>
        <v>299711535.88531095</v>
      </c>
    </row>
    <row r="23" spans="1:34">
      <c r="D23" s="1"/>
      <c r="E23" s="1"/>
      <c r="Q23" s="2"/>
      <c r="R23" s="2"/>
    </row>
    <row r="24" spans="1:34">
      <c r="F24" t="s">
        <v>13</v>
      </c>
      <c r="I24" t="s">
        <v>68</v>
      </c>
      <c r="O24" t="s">
        <v>62</v>
      </c>
      <c r="P24" t="s">
        <v>63</v>
      </c>
      <c r="Q24" t="s">
        <v>43</v>
      </c>
      <c r="R24" t="s">
        <v>41</v>
      </c>
      <c r="S24" t="s">
        <v>67</v>
      </c>
      <c r="T24" t="s">
        <v>70</v>
      </c>
    </row>
    <row r="25" spans="1:34">
      <c r="E25" t="s">
        <v>69</v>
      </c>
      <c r="F25">
        <f>AVERAGE(F13:F22)</f>
        <v>2.859999999999998E-4</v>
      </c>
      <c r="I25">
        <f>AVERAGE(I13:I22)</f>
        <v>6613.0525358065133</v>
      </c>
      <c r="K25">
        <f>((4*$B$3*(2*$B$4+$B$3-2*$B$2)*$B$2*(I25))/(($B$5-$B$2)^2*F25)*$C$3)^2</f>
        <v>65153742723562.984</v>
      </c>
      <c r="L25">
        <f>((4*$B$6*$B$2*(I25)/(($B$5-$B$2)^2*F25))*$C$4)^2</f>
        <v>13218059418.257057</v>
      </c>
      <c r="M25">
        <f>((4*$B$6*$B$5*(I25)/(($B$5-$B$2)^2*F25))*$C$2)^2</f>
        <v>99615364904.738373</v>
      </c>
      <c r="O25" s="22">
        <f>AVERAGE(O13:O22)</f>
        <v>308867166.68978626</v>
      </c>
      <c r="P25" s="1">
        <f>_xlfn.STDEV.S(O13:O22)/SQRT(COUNT(O13:O22))</f>
        <v>4268475.1967464751</v>
      </c>
      <c r="Q25">
        <f>SQRT(L25+M25+K25)</f>
        <v>8078773.1833420089</v>
      </c>
      <c r="R25">
        <f>SQRT(SUMSQ(P25:Q25))</f>
        <v>9137092.3522270396</v>
      </c>
      <c r="S25">
        <f>R25/O25</f>
        <v>2.9582595165914695E-2</v>
      </c>
      <c r="T25" s="1">
        <f>_xlfn.STDEV.S(O13:O21)</f>
        <v>14296966.982066751</v>
      </c>
    </row>
    <row r="26" spans="1:34">
      <c r="R26" s="2"/>
    </row>
    <row r="27" spans="1:34">
      <c r="P27" s="1"/>
      <c r="R27" s="2"/>
    </row>
    <row r="28" spans="1:34">
      <c r="R28" s="2"/>
    </row>
    <row r="29" spans="1:34">
      <c r="R29" s="2"/>
    </row>
    <row r="30" spans="1:34">
      <c r="R30" s="2"/>
    </row>
    <row r="31" spans="1:34">
      <c r="R31" s="2"/>
    </row>
    <row r="32" spans="1:34">
      <c r="R32" s="2"/>
    </row>
    <row r="33" spans="3:29">
      <c r="R33" s="2"/>
    </row>
    <row r="34" spans="3:29">
      <c r="R34" s="2"/>
    </row>
    <row r="35" spans="3:29">
      <c r="R35" s="2"/>
    </row>
    <row r="36" spans="3:29">
      <c r="R36" s="2"/>
    </row>
    <row r="37" spans="3:29">
      <c r="C37" s="1"/>
      <c r="D37" s="1"/>
      <c r="E37" s="1"/>
      <c r="R37" s="2"/>
    </row>
    <row r="38" spans="3:29">
      <c r="D38" s="1"/>
      <c r="E38" s="1"/>
      <c r="R38" s="2"/>
    </row>
    <row r="39" spans="3:29">
      <c r="D39" s="1"/>
      <c r="R39" s="2"/>
    </row>
    <row r="40" spans="3:29">
      <c r="T40" s="2"/>
    </row>
    <row r="41" spans="3:29">
      <c r="T41" s="2"/>
    </row>
    <row r="43" spans="3:29">
      <c r="AC43" s="2"/>
    </row>
    <row r="44" spans="3:29">
      <c r="AC44" s="2"/>
    </row>
    <row r="45" spans="3:29">
      <c r="AC45" s="2"/>
    </row>
    <row r="46" spans="3:29">
      <c r="AC46" s="2"/>
    </row>
    <row r="47" spans="3:29">
      <c r="AC47" s="2"/>
    </row>
    <row r="48" spans="3:29">
      <c r="AC48" s="2"/>
    </row>
    <row r="49" spans="29:40">
      <c r="AC49" s="2"/>
    </row>
    <row r="50" spans="29:40">
      <c r="AC50" s="2"/>
    </row>
    <row r="51" spans="29:40">
      <c r="AC51" s="2"/>
    </row>
    <row r="52" spans="29:40">
      <c r="AC52" s="2"/>
    </row>
    <row r="53" spans="29:40">
      <c r="AC53" s="2"/>
    </row>
    <row r="54" spans="29:40">
      <c r="AC54" s="2"/>
    </row>
    <row r="55" spans="29:40">
      <c r="AC55" s="2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</row>
    <row r="56" spans="29:40">
      <c r="AC56" s="2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</row>
    <row r="57" spans="29:40"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</row>
    <row r="58" spans="29:40"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</row>
    <row r="59" spans="29:40"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</row>
    <row r="60" spans="29:40"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</row>
    <row r="61" spans="29:40"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</row>
    <row r="62" spans="29:40"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</row>
    <row r="63" spans="29:40"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</row>
    <row r="64" spans="29:40"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H8" zoomScale="115" zoomScaleNormal="115" workbookViewId="0">
      <selection activeCell="K41" sqref="K41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6" width="15.7109375" bestFit="1" customWidth="1"/>
    <col min="7" max="8" width="9.140625" customWidth="1"/>
    <col min="9" max="9" width="11.42578125" customWidth="1"/>
    <col min="11" max="12" width="11.85546875" customWidth="1"/>
    <col min="13" max="13" width="12" customWidth="1"/>
    <col min="14" max="14" width="9" customWidth="1"/>
    <col min="15" max="15" width="12.28515625" customWidth="1"/>
    <col min="16" max="16" width="10" customWidth="1"/>
    <col min="17" max="18" width="15.85546875" customWidth="1"/>
    <col min="19" max="19" width="15.5703125" customWidth="1"/>
    <col min="20" max="20" width="11.140625" bestFit="1" customWidth="1"/>
    <col min="21" max="22" width="9.28515625" customWidth="1"/>
    <col min="23" max="25" width="11.85546875" customWidth="1"/>
    <col min="26" max="26" width="12" customWidth="1"/>
    <col min="27" max="27" width="11.85546875" customWidth="1"/>
    <col min="28" max="28" width="9.85546875" customWidth="1"/>
    <col min="29" max="31" width="11.85546875" customWidth="1"/>
    <col min="32" max="45" width="9.140625" customWidth="1"/>
  </cols>
  <sheetData>
    <row r="1" spans="1:34">
      <c r="A1" t="s">
        <v>0</v>
      </c>
      <c r="C1" t="s">
        <v>17</v>
      </c>
      <c r="E1" t="s">
        <v>54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13.997999999999999</v>
      </c>
      <c r="C5">
        <f>SQRT(C4^2+C3^2)</f>
        <v>0.34644768724873887</v>
      </c>
    </row>
    <row r="6" spans="1:34">
      <c r="A6" t="s">
        <v>5</v>
      </c>
      <c r="B6" s="1">
        <f>B3^2</f>
        <v>182.79039999999998</v>
      </c>
      <c r="C6" s="1">
        <f>2*B3*C3</f>
        <v>9.3669307673324873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  <c r="S9">
        <f>SUM(T13:T22)</f>
        <v>2.2900784595334076</v>
      </c>
      <c r="T9">
        <f>S9/(COUNT(T13:T22)-2)</f>
        <v>0.28625980744167595</v>
      </c>
    </row>
    <row r="10" spans="1:34">
      <c r="A10" t="s">
        <v>15</v>
      </c>
      <c r="B10">
        <f>299792458/1.00027</f>
        <v>299711535.88531095</v>
      </c>
      <c r="U10" s="35"/>
      <c r="V10" s="35"/>
      <c r="W10" s="35" t="s">
        <v>20</v>
      </c>
      <c r="X10" s="35">
        <f t="array" ref="X10:AG12">TRANSPOSE(U13:W22)</f>
        <v>1</v>
      </c>
      <c r="Y10" s="35">
        <v>2</v>
      </c>
      <c r="Z10" s="35">
        <v>3</v>
      </c>
      <c r="AA10" s="35">
        <v>4</v>
      </c>
      <c r="AB10" s="35">
        <v>5</v>
      </c>
      <c r="AC10" s="35">
        <v>6</v>
      </c>
      <c r="AD10" s="35">
        <v>7</v>
      </c>
      <c r="AE10" s="35">
        <v>8</v>
      </c>
      <c r="AF10" s="35">
        <v>9</v>
      </c>
      <c r="AG10" s="35">
        <v>10</v>
      </c>
    </row>
    <row r="11" spans="1:34">
      <c r="I11" t="s">
        <v>14</v>
      </c>
      <c r="U11" s="35"/>
      <c r="V11" s="4" t="s">
        <v>18</v>
      </c>
      <c r="W11" s="4"/>
      <c r="X11" s="4">
        <v>8458624.017081853</v>
      </c>
      <c r="Y11" s="4">
        <v>8602071.3741364274</v>
      </c>
      <c r="Z11" s="4">
        <v>8369610.5291398279</v>
      </c>
      <c r="AA11" s="4">
        <v>8375045.9967730092</v>
      </c>
      <c r="AB11" s="4">
        <v>8500271.436644597</v>
      </c>
      <c r="AC11" s="4">
        <v>8436300.6540108398</v>
      </c>
      <c r="AD11" s="4">
        <v>8576504.4238007404</v>
      </c>
      <c r="AE11" s="4">
        <v>8518653.5081875604</v>
      </c>
      <c r="AF11" s="4">
        <v>8441320.80980343</v>
      </c>
      <c r="AG11" s="4">
        <v>8579070.475172447</v>
      </c>
      <c r="AH11" t="s">
        <v>42</v>
      </c>
    </row>
    <row r="12" spans="1:34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44</v>
      </c>
      <c r="R12" t="s">
        <v>35</v>
      </c>
      <c r="S12" t="s">
        <v>36</v>
      </c>
      <c r="T12" t="s">
        <v>58</v>
      </c>
      <c r="U12" s="35" t="s">
        <v>20</v>
      </c>
      <c r="V12" s="4"/>
      <c r="W12" s="4" t="s">
        <v>19</v>
      </c>
      <c r="X12" s="4">
        <v>296970884.95530957</v>
      </c>
      <c r="Y12" s="4">
        <v>302974786.42325675</v>
      </c>
      <c r="Z12" s="4">
        <v>293235402.12568319</v>
      </c>
      <c r="AA12" s="4">
        <v>293463727.36115474</v>
      </c>
      <c r="AB12" s="4">
        <v>298715999.04018366</v>
      </c>
      <c r="AC12" s="4">
        <v>296034804.40211803</v>
      </c>
      <c r="AD12" s="4">
        <v>301906094.74864209</v>
      </c>
      <c r="AE12" s="4">
        <v>299485723.19700319</v>
      </c>
      <c r="AF12" s="4">
        <v>296245355.47210461</v>
      </c>
      <c r="AG12" s="4">
        <v>302013381.91806239</v>
      </c>
      <c r="AH12">
        <f>$B$10</f>
        <v>299711535.88531095</v>
      </c>
    </row>
    <row r="13" spans="1:34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I13">
        <f>ABS(H13-G13)</f>
        <v>17391.856930273094</v>
      </c>
      <c r="K13">
        <f>((4*$B$3*(2*$B$4+$B$3-2*$B$2)*$B$2*(H13-G13))/(($B$5-$B$2)^2*F13)*$C$3)^2</f>
        <v>59816374117398.867</v>
      </c>
      <c r="L13">
        <f>((4*$B$6*$B$2*(G13-H13)/(($B$5-$B$2)^2*F13))*$C$4)^2</f>
        <v>12135241265.004555</v>
      </c>
      <c r="M13">
        <f>((4*$B$6*$B$5*(H13-G13)/(($B$5-$B$2)^2*F13))*$C$2)^2</f>
        <v>91454913960.423706</v>
      </c>
      <c r="O13">
        <f>4*$B$2*$B$6*ABS(H13-G13)/(($B$5-$B$2)*F13)</f>
        <v>296970884.95530957</v>
      </c>
      <c r="P13">
        <f>SQRT(K13+L13+M13)</f>
        <v>7740798.6844139211</v>
      </c>
      <c r="Q13">
        <f>SQRT(P13^2+$T$25^2)</f>
        <v>8458624.017081853</v>
      </c>
      <c r="R13" s="2">
        <f>Q13/O13</f>
        <v>2.8483007747896805E-2</v>
      </c>
      <c r="S13" s="2">
        <f>(O13-$B$10)/P13</f>
        <v>-0.35405273302348916</v>
      </c>
      <c r="T13">
        <f>(S13)^2</f>
        <v>0.12535333776140209</v>
      </c>
      <c r="U13" s="35">
        <v>1</v>
      </c>
      <c r="V13" s="4">
        <f>Q13</f>
        <v>8458624.017081853</v>
      </c>
      <c r="W13" s="4">
        <f>O13</f>
        <v>296970884.95530957</v>
      </c>
      <c r="X13" s="16">
        <f>ABS(($W13-X$12)/SQRT($V13^2+X$11^2))</f>
        <v>0</v>
      </c>
      <c r="Y13" s="17">
        <f t="shared" ref="Y13:AG22" si="0">ABS(($W13-Y$12)/SQRT($V13^2+Y$11^2))</f>
        <v>0.49766428470767687</v>
      </c>
      <c r="Z13" s="17">
        <f t="shared" si="0"/>
        <v>0.31391864446594947</v>
      </c>
      <c r="AA13" s="17">
        <f t="shared" si="0"/>
        <v>0.29463620828566683</v>
      </c>
      <c r="AB13" s="17">
        <f t="shared" si="0"/>
        <v>0.1455257844758204</v>
      </c>
      <c r="AC13" s="17">
        <f t="shared" si="0"/>
        <v>7.8355878109988258E-2</v>
      </c>
      <c r="AD13" s="17">
        <f t="shared" si="0"/>
        <v>0.4096989083804129</v>
      </c>
      <c r="AE13" s="17">
        <f t="shared" si="0"/>
        <v>0.20948565581220638</v>
      </c>
      <c r="AF13" s="17">
        <f t="shared" si="0"/>
        <v>6.0713399230496332E-2</v>
      </c>
      <c r="AG13" s="17">
        <f t="shared" si="0"/>
        <v>0.4185419222792206</v>
      </c>
      <c r="AH13">
        <f t="shared" ref="AH13:AH22" si="1">$B$10</f>
        <v>299711535.88531095</v>
      </c>
    </row>
    <row r="14" spans="1:34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2">ABS(E14-D14)</f>
        <v>7.6999999999999985E-4</v>
      </c>
      <c r="G14">
        <f t="shared" ref="G14:H22" si="3">2*PI()*B14</f>
        <v>-8721.0612063652661</v>
      </c>
      <c r="H14">
        <f t="shared" si="3"/>
        <v>8683.3620945221883</v>
      </c>
      <c r="I14">
        <f t="shared" ref="I14:I22" si="4">ABS(H14-G14)</f>
        <v>17404.423300887454</v>
      </c>
      <c r="K14">
        <f t="shared" ref="K14:K22" si="5">((4*$B$3*(2*$B$4+$B$3-2*$B$2)*$B$2*(H14-G14))/(($B$5-$B$2)^2*F14)*$C$3)^2</f>
        <v>62259454847099.813</v>
      </c>
      <c r="L14">
        <f t="shared" ref="L14:L22" si="6">((4*$B$6*$B$2*(G14-H14)/(($B$5-$B$2)^2*F14))*$C$4)^2</f>
        <v>12630881037.930555</v>
      </c>
      <c r="M14">
        <f t="shared" ref="M14:M22" si="7">((4*$B$6*$B$5*(H14-G14)/(($B$5-$B$2)^2*F14))*$C$2)^2</f>
        <v>95190207869.991867</v>
      </c>
      <c r="O14">
        <f t="shared" ref="O14:O22" si="8">4*$B$2*$B$6*ABS(H14-G14)/(($B$5-$B$2)*F14)</f>
        <v>302974786.42325675</v>
      </c>
      <c r="P14">
        <f t="shared" ref="P14:P22" si="9">SQRT(K14+L14+M14)</f>
        <v>7897295.4823792512</v>
      </c>
      <c r="Q14">
        <f t="shared" ref="Q14:Q22" si="10">SQRT(P14^2+$T$25^2)</f>
        <v>8602071.3741364274</v>
      </c>
      <c r="R14" s="2">
        <f t="shared" ref="R14:R22" si="11">Q14/O14</f>
        <v>2.8392037092219633E-2</v>
      </c>
      <c r="S14" s="2">
        <f>(O14-$B$10)/P14</f>
        <v>0.41321114870614845</v>
      </c>
      <c r="T14">
        <f t="shared" ref="T14:T22" si="12">(S14)^2</f>
        <v>0.17074345341505473</v>
      </c>
      <c r="U14" s="35">
        <v>2</v>
      </c>
      <c r="V14" s="4">
        <f t="shared" ref="V14:V21" si="13">Q14</f>
        <v>8602071.3741364274</v>
      </c>
      <c r="W14" s="4">
        <f t="shared" ref="W14:W22" si="14">O14</f>
        <v>302974786.42325675</v>
      </c>
      <c r="X14" s="18">
        <f t="shared" ref="X14:AG22" si="15">ABS(($W14-X$12)/SQRT($V14^2+X$11^2))</f>
        <v>0.49766428470767687</v>
      </c>
      <c r="Y14" s="19">
        <f t="shared" si="15"/>
        <v>0</v>
      </c>
      <c r="Z14" s="19">
        <f t="shared" si="15"/>
        <v>0.81148572142682651</v>
      </c>
      <c r="AA14" s="19">
        <f t="shared" si="15"/>
        <v>0.79221141893235503</v>
      </c>
      <c r="AB14" s="19">
        <f t="shared" si="15"/>
        <v>0.35215807847185798</v>
      </c>
      <c r="AC14" s="19">
        <f t="shared" si="15"/>
        <v>0.57600293005750347</v>
      </c>
      <c r="AD14" s="19">
        <f t="shared" si="15"/>
        <v>8.7979155207525792E-2</v>
      </c>
      <c r="AE14" s="19">
        <f t="shared" si="15"/>
        <v>0.28820169709621507</v>
      </c>
      <c r="AF14" s="19">
        <f t="shared" si="15"/>
        <v>0.55836473959517707</v>
      </c>
      <c r="AG14" s="19">
        <f t="shared" si="15"/>
        <v>7.9135023954517963E-2</v>
      </c>
      <c r="AH14">
        <f t="shared" si="1"/>
        <v>299711535.88531095</v>
      </c>
    </row>
    <row r="15" spans="1:34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2"/>
        <v>7.9499999999999883E-4</v>
      </c>
      <c r="G15">
        <f t="shared" si="3"/>
        <v>-8765.0435035155224</v>
      </c>
      <c r="H15">
        <f t="shared" si="3"/>
        <v>8626.8134267575715</v>
      </c>
      <c r="I15">
        <f t="shared" si="4"/>
        <v>17391.856930273094</v>
      </c>
      <c r="K15">
        <f t="shared" si="5"/>
        <v>58321023915975.094</v>
      </c>
      <c r="L15">
        <f t="shared" si="6"/>
        <v>11831872233.736702</v>
      </c>
      <c r="M15">
        <f t="shared" si="7"/>
        <v>89168631549.799683</v>
      </c>
      <c r="O15">
        <f t="shared" si="8"/>
        <v>293235402.12568319</v>
      </c>
      <c r="P15">
        <f t="shared" si="9"/>
        <v>7643430.1475030584</v>
      </c>
      <c r="Q15">
        <f t="shared" si="10"/>
        <v>8369610.5291398279</v>
      </c>
      <c r="R15" s="2">
        <f t="shared" si="11"/>
        <v>2.8542292194148309E-2</v>
      </c>
      <c r="S15" s="2">
        <f>(O15-$B$10)/P15</f>
        <v>-0.84728108122285528</v>
      </c>
      <c r="T15">
        <f t="shared" si="12"/>
        <v>0.71788523059817066</v>
      </c>
      <c r="U15" s="35">
        <v>3</v>
      </c>
      <c r="V15" s="4">
        <f t="shared" si="13"/>
        <v>8369610.5291398279</v>
      </c>
      <c r="W15" s="4">
        <f t="shared" si="14"/>
        <v>293235402.12568319</v>
      </c>
      <c r="X15" s="20">
        <f t="shared" si="15"/>
        <v>0.31391864446594947</v>
      </c>
      <c r="Y15" s="21">
        <f t="shared" si="0"/>
        <v>0.81148572142682651</v>
      </c>
      <c r="Z15" s="21">
        <f t="shared" si="0"/>
        <v>0</v>
      </c>
      <c r="AA15" s="21">
        <f t="shared" si="0"/>
        <v>1.9283801200938568E-2</v>
      </c>
      <c r="AB15" s="21">
        <f t="shared" si="0"/>
        <v>0.45942834902454305</v>
      </c>
      <c r="AC15" s="21">
        <f t="shared" si="0"/>
        <v>0.23556720324193883</v>
      </c>
      <c r="AD15" s="21">
        <f t="shared" si="0"/>
        <v>0.72354621392134733</v>
      </c>
      <c r="AE15" s="21">
        <f t="shared" si="0"/>
        <v>0.52337792714783238</v>
      </c>
      <c r="AF15" s="21">
        <f t="shared" si="0"/>
        <v>0.25320894074304084</v>
      </c>
      <c r="AG15" s="21">
        <f t="shared" si="0"/>
        <v>0.73238679605654322</v>
      </c>
      <c r="AH15">
        <f t="shared" si="1"/>
        <v>299711535.88531095</v>
      </c>
    </row>
    <row r="16" spans="1:34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2"/>
        <v>8.0500000000000016E-4</v>
      </c>
      <c r="G16">
        <f t="shared" si="3"/>
        <v>-8859.291283123217</v>
      </c>
      <c r="H16">
        <f t="shared" si="3"/>
        <v>8765.0435035155224</v>
      </c>
      <c r="I16">
        <f t="shared" si="4"/>
        <v>17624.334786638741</v>
      </c>
      <c r="K16">
        <f t="shared" si="5"/>
        <v>58411881606960.367</v>
      </c>
      <c r="L16">
        <f t="shared" si="6"/>
        <v>11850304979.237518</v>
      </c>
      <c r="M16">
        <f t="shared" si="7"/>
        <v>89307546394.343674</v>
      </c>
      <c r="O16">
        <f t="shared" si="8"/>
        <v>293463727.36115474</v>
      </c>
      <c r="P16">
        <f>SQRT(K16+L16+M16)</f>
        <v>7649381.6389518669</v>
      </c>
      <c r="Q16">
        <f t="shared" si="10"/>
        <v>8375045.9967730092</v>
      </c>
      <c r="R16" s="2">
        <f t="shared" si="11"/>
        <v>2.8538607043814161E-2</v>
      </c>
      <c r="S16" s="2">
        <f t="shared" ref="S16:S22" si="16">(O16-$B$10)/P16</f>
        <v>-0.81677301761770904</v>
      </c>
      <c r="T16">
        <f t="shared" si="12"/>
        <v>0.66711816230833842</v>
      </c>
      <c r="U16" s="35">
        <v>4</v>
      </c>
      <c r="V16" s="4">
        <f t="shared" si="13"/>
        <v>8375045.9967730092</v>
      </c>
      <c r="W16" s="4">
        <f t="shared" si="14"/>
        <v>293463727.36115474</v>
      </c>
      <c r="X16" s="18">
        <f t="shared" si="15"/>
        <v>0.29463620828566683</v>
      </c>
      <c r="Y16" s="19">
        <f t="shared" si="0"/>
        <v>0.79221141893235503</v>
      </c>
      <c r="Z16" s="19">
        <f t="shared" si="0"/>
        <v>1.9283801200938568E-2</v>
      </c>
      <c r="AA16" s="19">
        <f t="shared" si="0"/>
        <v>0</v>
      </c>
      <c r="AB16" s="19">
        <f t="shared" si="0"/>
        <v>0.44014753322636518</v>
      </c>
      <c r="AC16" s="19">
        <f t="shared" si="0"/>
        <v>0.21628415382545491</v>
      </c>
      <c r="AD16" s="19">
        <f t="shared" si="0"/>
        <v>0.70426994038624779</v>
      </c>
      <c r="AE16" s="19">
        <f t="shared" si="0"/>
        <v>0.50409802162307393</v>
      </c>
      <c r="AF16" s="19">
        <f t="shared" si="0"/>
        <v>0.23392601357933207</v>
      </c>
      <c r="AG16" s="19">
        <f t="shared" si="0"/>
        <v>0.71311071030472817</v>
      </c>
      <c r="AH16">
        <f t="shared" si="1"/>
        <v>299711535.88531095</v>
      </c>
    </row>
    <row r="17" spans="1:34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2"/>
        <v>7.8999999999999904E-4</v>
      </c>
      <c r="G17">
        <f t="shared" si="3"/>
        <v>-8827.8753565873194</v>
      </c>
      <c r="H17">
        <f t="shared" si="3"/>
        <v>8777.6098741298811</v>
      </c>
      <c r="I17">
        <f t="shared" si="4"/>
        <v>17605.4852307172</v>
      </c>
      <c r="K17">
        <f t="shared" si="5"/>
        <v>60521447304067.625</v>
      </c>
      <c r="L17">
        <f t="shared" si="6"/>
        <v>12278282921.339622</v>
      </c>
      <c r="M17">
        <f t="shared" si="7"/>
        <v>92532919917.38855</v>
      </c>
      <c r="O17">
        <f t="shared" si="8"/>
        <v>298715999.04018366</v>
      </c>
      <c r="P17">
        <f t="shared" si="9"/>
        <v>7786286.5672222953</v>
      </c>
      <c r="Q17">
        <f t="shared" si="10"/>
        <v>8500271.436644597</v>
      </c>
      <c r="R17" s="2">
        <f t="shared" si="11"/>
        <v>2.8456030021683336E-2</v>
      </c>
      <c r="S17" s="2">
        <f t="shared" si="16"/>
        <v>-0.12785771966294782</v>
      </c>
      <c r="T17">
        <f t="shared" si="12"/>
        <v>1.6347596477408952E-2</v>
      </c>
      <c r="U17" s="35">
        <v>5</v>
      </c>
      <c r="V17" s="4">
        <f t="shared" si="13"/>
        <v>8500271.436644597</v>
      </c>
      <c r="W17" s="4">
        <f t="shared" si="14"/>
        <v>298715999.04018366</v>
      </c>
      <c r="X17" s="20">
        <f t="shared" si="15"/>
        <v>0.1455257844758204</v>
      </c>
      <c r="Y17" s="21">
        <f t="shared" si="0"/>
        <v>0.35215807847185798</v>
      </c>
      <c r="Z17" s="21">
        <f t="shared" si="0"/>
        <v>0.45942834902454305</v>
      </c>
      <c r="AA17" s="21">
        <f t="shared" si="0"/>
        <v>0.44014753322636518</v>
      </c>
      <c r="AB17" s="21">
        <f t="shared" si="0"/>
        <v>0</v>
      </c>
      <c r="AC17" s="21">
        <f t="shared" si="0"/>
        <v>0.22387970559216747</v>
      </c>
      <c r="AD17" s="21">
        <f t="shared" si="0"/>
        <v>0.26418521272869677</v>
      </c>
      <c r="AE17" s="21">
        <f t="shared" si="0"/>
        <v>6.3961367150501866E-2</v>
      </c>
      <c r="AF17" s="21">
        <f t="shared" si="0"/>
        <v>0.20623778677616636</v>
      </c>
      <c r="AG17" s="21">
        <f t="shared" si="0"/>
        <v>0.27302890123026385</v>
      </c>
      <c r="AH17">
        <f t="shared" si="1"/>
        <v>299711535.88531095</v>
      </c>
    </row>
    <row r="18" spans="1:34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2"/>
        <v>7.9999999999999863E-4</v>
      </c>
      <c r="G18">
        <f t="shared" si="3"/>
        <v>-8896.9903949662948</v>
      </c>
      <c r="H18">
        <f t="shared" si="3"/>
        <v>8771.3266888227026</v>
      </c>
      <c r="I18">
        <f t="shared" si="4"/>
        <v>17668.317083788999</v>
      </c>
      <c r="K18">
        <f t="shared" si="5"/>
        <v>59439874602765.906</v>
      </c>
      <c r="L18">
        <f t="shared" si="6"/>
        <v>12058858961.435619</v>
      </c>
      <c r="M18">
        <f t="shared" si="7"/>
        <v>90879273406.729828</v>
      </c>
      <c r="O18">
        <f t="shared" si="8"/>
        <v>296034804.40211803</v>
      </c>
      <c r="P18">
        <f t="shared" si="9"/>
        <v>7716398.9486763887</v>
      </c>
      <c r="Q18">
        <f t="shared" si="10"/>
        <v>8436300.6540108398</v>
      </c>
      <c r="R18" s="2">
        <f t="shared" si="11"/>
        <v>2.8497664898048322E-2</v>
      </c>
      <c r="S18" s="2">
        <f t="shared" si="16"/>
        <v>-0.47648281376426227</v>
      </c>
      <c r="T18">
        <f t="shared" si="12"/>
        <v>0.22703587181270865</v>
      </c>
      <c r="U18" s="35">
        <v>6</v>
      </c>
      <c r="V18" s="4">
        <f t="shared" si="13"/>
        <v>8436300.6540108398</v>
      </c>
      <c r="W18" s="4">
        <f t="shared" si="14"/>
        <v>296034804.40211803</v>
      </c>
      <c r="X18" s="18">
        <f t="shared" si="15"/>
        <v>7.8355878109988258E-2</v>
      </c>
      <c r="Y18" s="19">
        <f t="shared" si="0"/>
        <v>0.57600293005750347</v>
      </c>
      <c r="Z18" s="19">
        <f t="shared" si="0"/>
        <v>0.23556720324193883</v>
      </c>
      <c r="AA18" s="19">
        <f t="shared" si="0"/>
        <v>0.21628415382545491</v>
      </c>
      <c r="AB18" s="19">
        <f t="shared" si="0"/>
        <v>0.22387970559216747</v>
      </c>
      <c r="AC18" s="19">
        <f t="shared" si="0"/>
        <v>0</v>
      </c>
      <c r="AD18" s="19">
        <f t="shared" si="0"/>
        <v>0.48804276860795609</v>
      </c>
      <c r="AE18" s="19">
        <f t="shared" si="0"/>
        <v>0.28783791146543075</v>
      </c>
      <c r="AF18" s="19">
        <f t="shared" si="0"/>
        <v>1.764254318735136E-2</v>
      </c>
      <c r="AG18" s="19">
        <f t="shared" si="0"/>
        <v>0.4968853004096746</v>
      </c>
      <c r="AH18">
        <f t="shared" si="1"/>
        <v>299711535.88531095</v>
      </c>
    </row>
    <row r="19" spans="1:34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2"/>
        <v>7.8499999999999924E-4</v>
      </c>
      <c r="G19">
        <f t="shared" si="3"/>
        <v>-8922.1231361950122</v>
      </c>
      <c r="H19">
        <f t="shared" si="3"/>
        <v>8758.760318208344</v>
      </c>
      <c r="I19">
        <f t="shared" si="4"/>
        <v>17680.883454403356</v>
      </c>
      <c r="K19">
        <f t="shared" si="5"/>
        <v>61821010352174.398</v>
      </c>
      <c r="L19">
        <f t="shared" si="6"/>
        <v>12541931652.319347</v>
      </c>
      <c r="M19">
        <f t="shared" si="7"/>
        <v>94519857917.299561</v>
      </c>
      <c r="O19">
        <f t="shared" si="8"/>
        <v>301906094.74864209</v>
      </c>
      <c r="P19">
        <f t="shared" si="9"/>
        <v>7869439.1249786038</v>
      </c>
      <c r="Q19">
        <f t="shared" si="10"/>
        <v>8576504.4238007404</v>
      </c>
      <c r="R19" s="2">
        <f t="shared" si="11"/>
        <v>2.8407854538151273E-2</v>
      </c>
      <c r="S19" s="2">
        <f t="shared" si="16"/>
        <v>0.27887106418617935</v>
      </c>
      <c r="T19">
        <f t="shared" si="12"/>
        <v>7.7769070440332169E-2</v>
      </c>
      <c r="U19" s="35">
        <v>7</v>
      </c>
      <c r="V19" s="4">
        <f t="shared" si="13"/>
        <v>8576504.4238007404</v>
      </c>
      <c r="W19" s="4">
        <f t="shared" si="14"/>
        <v>301906094.74864209</v>
      </c>
      <c r="X19" s="20">
        <f t="shared" si="15"/>
        <v>0.4096989083804129</v>
      </c>
      <c r="Y19" s="21">
        <f t="shared" si="0"/>
        <v>8.7979155207525792E-2</v>
      </c>
      <c r="Z19" s="21">
        <f t="shared" si="0"/>
        <v>0.72354621392134733</v>
      </c>
      <c r="AA19" s="21">
        <f t="shared" si="0"/>
        <v>0.70426994038624779</v>
      </c>
      <c r="AB19" s="21">
        <f t="shared" si="0"/>
        <v>0.26418521272869677</v>
      </c>
      <c r="AC19" s="21">
        <f t="shared" si="0"/>
        <v>0.48804276860795609</v>
      </c>
      <c r="AD19" s="21">
        <f t="shared" si="0"/>
        <v>0</v>
      </c>
      <c r="AE19" s="21">
        <f t="shared" si="0"/>
        <v>0.20022644357912933</v>
      </c>
      <c r="AF19" s="21">
        <f t="shared" si="0"/>
        <v>0.47040333182869148</v>
      </c>
      <c r="AG19" s="21">
        <f t="shared" si="0"/>
        <v>8.8441785984458322E-3</v>
      </c>
      <c r="AH19">
        <f t="shared" si="1"/>
        <v>299711535.88531095</v>
      </c>
    </row>
    <row r="20" spans="1:34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2"/>
        <v>7.9500000000000057E-4</v>
      </c>
      <c r="G20">
        <f t="shared" si="3"/>
        <v>-8972.3886186524487</v>
      </c>
      <c r="H20">
        <f t="shared" si="3"/>
        <v>8790.1762447442416</v>
      </c>
      <c r="I20">
        <f t="shared" si="4"/>
        <v>17762.564863396692</v>
      </c>
      <c r="K20">
        <f t="shared" si="5"/>
        <v>60833749554123.516</v>
      </c>
      <c r="L20">
        <f t="shared" si="6"/>
        <v>12341641210.904186</v>
      </c>
      <c r="M20">
        <f t="shared" si="7"/>
        <v>93010407492.152832</v>
      </c>
      <c r="O20">
        <f t="shared" si="8"/>
        <v>299485723.19700319</v>
      </c>
      <c r="P20">
        <f t="shared" si="9"/>
        <v>7806350.0820054552</v>
      </c>
      <c r="Q20">
        <f t="shared" si="10"/>
        <v>8518653.5081875604</v>
      </c>
      <c r="R20" s="2">
        <f>Q20/O20</f>
        <v>2.84442724589711E-2</v>
      </c>
      <c r="S20" s="2">
        <f t="shared" si="16"/>
        <v>-2.8926794972760274E-2</v>
      </c>
      <c r="T20">
        <f t="shared" si="12"/>
        <v>8.3675946739610908E-4</v>
      </c>
      <c r="U20" s="35">
        <v>8</v>
      </c>
      <c r="V20" s="4">
        <f t="shared" si="13"/>
        <v>8518653.5081875604</v>
      </c>
      <c r="W20" s="4">
        <f t="shared" si="14"/>
        <v>299485723.19700319</v>
      </c>
      <c r="X20" s="18">
        <f t="shared" si="15"/>
        <v>0.20948565581220638</v>
      </c>
      <c r="Y20" s="19">
        <f t="shared" si="0"/>
        <v>0.28820169709621507</v>
      </c>
      <c r="Z20" s="19">
        <f t="shared" si="0"/>
        <v>0.52337792714783238</v>
      </c>
      <c r="AA20" s="19">
        <f t="shared" si="0"/>
        <v>0.50409802162307393</v>
      </c>
      <c r="AB20" s="19">
        <f t="shared" si="0"/>
        <v>6.3961367150501866E-2</v>
      </c>
      <c r="AC20" s="19">
        <f t="shared" si="0"/>
        <v>0.28783791146543075</v>
      </c>
      <c r="AD20" s="19">
        <f t="shared" si="0"/>
        <v>0.20022644357912933</v>
      </c>
      <c r="AE20" s="19">
        <f t="shared" si="0"/>
        <v>0</v>
      </c>
      <c r="AF20" s="19">
        <f t="shared" si="0"/>
        <v>0.27019642012781747</v>
      </c>
      <c r="AG20" s="19">
        <f t="shared" si="0"/>
        <v>0.20907033770139227</v>
      </c>
      <c r="AH20">
        <f t="shared" si="1"/>
        <v>299711535.88531095</v>
      </c>
    </row>
    <row r="21" spans="1:34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2"/>
        <v>8.0000000000000036E-4</v>
      </c>
      <c r="G21">
        <f t="shared" si="3"/>
        <v>-8896.9903949662948</v>
      </c>
      <c r="H21">
        <f t="shared" si="3"/>
        <v>8783.8930594370613</v>
      </c>
      <c r="I21">
        <f t="shared" si="4"/>
        <v>17680.883454403356</v>
      </c>
      <c r="K21">
        <f t="shared" si="5"/>
        <v>59524456412919.617</v>
      </c>
      <c r="L21">
        <f t="shared" si="6"/>
        <v>12076018488.203856</v>
      </c>
      <c r="M21">
        <f t="shared" si="7"/>
        <v>91008592882.949585</v>
      </c>
      <c r="O21">
        <f t="shared" si="8"/>
        <v>296245355.47210461</v>
      </c>
      <c r="P21">
        <f t="shared" si="9"/>
        <v>7721887.1413852442</v>
      </c>
      <c r="Q21">
        <f t="shared" si="10"/>
        <v>8441320.80980343</v>
      </c>
      <c r="R21" s="2">
        <f t="shared" si="11"/>
        <v>2.8494356633376117E-2</v>
      </c>
      <c r="S21" s="2">
        <f t="shared" si="16"/>
        <v>-0.4488773728159583</v>
      </c>
      <c r="T21">
        <f t="shared" si="12"/>
        <v>0.20149089582615681</v>
      </c>
      <c r="U21" s="35">
        <v>9</v>
      </c>
      <c r="V21" s="4">
        <f t="shared" si="13"/>
        <v>8441320.80980343</v>
      </c>
      <c r="W21" s="4">
        <f t="shared" si="14"/>
        <v>296245355.47210461</v>
      </c>
      <c r="X21" s="20">
        <f t="shared" si="15"/>
        <v>6.0713399230496332E-2</v>
      </c>
      <c r="Y21" s="21">
        <f t="shared" si="0"/>
        <v>0.55836473959517707</v>
      </c>
      <c r="Z21" s="21">
        <f t="shared" si="0"/>
        <v>0.25320894074304084</v>
      </c>
      <c r="AA21" s="21">
        <f t="shared" si="0"/>
        <v>0.23392601357933207</v>
      </c>
      <c r="AB21" s="21">
        <f t="shared" si="0"/>
        <v>0.20623778677616636</v>
      </c>
      <c r="AC21" s="21">
        <f t="shared" si="0"/>
        <v>1.764254318735136E-2</v>
      </c>
      <c r="AD21" s="21">
        <f t="shared" si="0"/>
        <v>0.47040333182869148</v>
      </c>
      <c r="AE21" s="21">
        <f t="shared" si="0"/>
        <v>0.27019642012781747</v>
      </c>
      <c r="AF21" s="21">
        <f t="shared" si="0"/>
        <v>0</v>
      </c>
      <c r="AG21" s="21">
        <f t="shared" si="0"/>
        <v>0.47924597943186953</v>
      </c>
      <c r="AH21">
        <f t="shared" si="1"/>
        <v>299711535.88531095</v>
      </c>
    </row>
    <row r="22" spans="1:34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2"/>
        <v>7.8499999999999924E-4</v>
      </c>
      <c r="G22">
        <f t="shared" si="3"/>
        <v>-8922.1231361950122</v>
      </c>
      <c r="H22">
        <f t="shared" si="3"/>
        <v>8765.0435035155224</v>
      </c>
      <c r="I22">
        <f t="shared" si="4"/>
        <v>17687.166639710536</v>
      </c>
      <c r="K22">
        <f t="shared" si="5"/>
        <v>61864956332910.43</v>
      </c>
      <c r="L22">
        <f t="shared" si="6"/>
        <v>12550847189.021927</v>
      </c>
      <c r="M22">
        <f t="shared" si="7"/>
        <v>94587048146.50386</v>
      </c>
      <c r="O22">
        <f t="shared" si="8"/>
        <v>302013381.91806239</v>
      </c>
      <c r="P22">
        <f t="shared" si="9"/>
        <v>7872235.6562952278</v>
      </c>
      <c r="Q22">
        <f t="shared" si="10"/>
        <v>8579070.475172447</v>
      </c>
      <c r="R22" s="2">
        <f t="shared" si="11"/>
        <v>2.8406259420319289E-2</v>
      </c>
      <c r="S22" s="2">
        <f t="shared" si="16"/>
        <v>0.29240054963429774</v>
      </c>
      <c r="T22">
        <f t="shared" si="12"/>
        <v>8.5498081426439415E-2</v>
      </c>
      <c r="U22" s="35">
        <v>10</v>
      </c>
      <c r="V22" s="4">
        <f>Q22</f>
        <v>8579070.475172447</v>
      </c>
      <c r="W22" s="4">
        <f t="shared" si="14"/>
        <v>302013381.91806239</v>
      </c>
      <c r="X22" s="18">
        <f t="shared" si="15"/>
        <v>0.4185419222792206</v>
      </c>
      <c r="Y22" s="19">
        <f t="shared" si="0"/>
        <v>7.9135023954517963E-2</v>
      </c>
      <c r="Z22" s="19">
        <f t="shared" si="0"/>
        <v>0.73238679605654322</v>
      </c>
      <c r="AA22" s="19">
        <f t="shared" si="0"/>
        <v>0.71311071030472817</v>
      </c>
      <c r="AB22" s="19">
        <f t="shared" si="0"/>
        <v>0.27302890123026385</v>
      </c>
      <c r="AC22" s="19">
        <f t="shared" si="0"/>
        <v>0.4968853004096746</v>
      </c>
      <c r="AD22" s="19">
        <f t="shared" si="0"/>
        <v>8.8441785984458322E-3</v>
      </c>
      <c r="AE22" s="19">
        <f t="shared" si="0"/>
        <v>0.20907033770139227</v>
      </c>
      <c r="AF22" s="19">
        <f t="shared" si="0"/>
        <v>0.47924597943186953</v>
      </c>
      <c r="AG22" s="19">
        <f t="shared" si="0"/>
        <v>0</v>
      </c>
      <c r="AH22">
        <f t="shared" si="1"/>
        <v>299711535.88531095</v>
      </c>
    </row>
    <row r="23" spans="1:34">
      <c r="D23" s="1"/>
      <c r="E23" s="1"/>
      <c r="Q23" s="2"/>
      <c r="R23" s="2"/>
      <c r="S23" s="2"/>
    </row>
    <row r="24" spans="1:34">
      <c r="C24" s="1"/>
      <c r="D24" s="1"/>
      <c r="E24" s="1"/>
      <c r="F24" t="s">
        <v>13</v>
      </c>
      <c r="I24" t="s">
        <v>68</v>
      </c>
      <c r="O24" t="s">
        <v>62</v>
      </c>
      <c r="P24" t="s">
        <v>63</v>
      </c>
      <c r="Q24" t="s">
        <v>43</v>
      </c>
      <c r="R24" t="s">
        <v>41</v>
      </c>
      <c r="S24" t="s">
        <v>67</v>
      </c>
      <c r="T24" t="s">
        <v>70</v>
      </c>
    </row>
    <row r="25" spans="1:34">
      <c r="D25" s="1"/>
      <c r="E25" s="1" t="s">
        <v>69</v>
      </c>
      <c r="F25">
        <f>AVERAGE(F13:F22)</f>
        <v>7.9099999999999949E-4</v>
      </c>
      <c r="I25">
        <f>AVERAGE(I13:I22)</f>
        <v>17589.777267449252</v>
      </c>
      <c r="K25">
        <f>((4*$B$3*(2*$B$4+$B$3-2*$B$2)*$B$2*(I25))/(($B$5-$B$2)^2*F25)*$C$3)^2</f>
        <v>60260842957638.766</v>
      </c>
      <c r="L25">
        <f>((4*$B$6*$B$2*(I25)/(($B$5-$B$2)^2*F25))*$C$4)^2</f>
        <v>12225412839.104012</v>
      </c>
      <c r="M25">
        <f>((4*$B$6*$B$5*(I25)/(($B$5-$B$2)^2*F25))*$C$2)^2</f>
        <v>92134474701.809509</v>
      </c>
      <c r="O25" s="22">
        <f>AVERAGE(O13:O22)</f>
        <v>298104615.96435177</v>
      </c>
      <c r="P25" s="1">
        <f>_xlfn.STDEV.S(O13:O22)/SQRT(COUNT(O13:O22))</f>
        <v>1105556.1943434244</v>
      </c>
      <c r="Q25">
        <f>SQRT(L25+M25+K25)</f>
        <v>7769504.6718037101</v>
      </c>
      <c r="R25">
        <f>SQRT(SUMSQ(P25:Q25))</f>
        <v>7847767.6662877062</v>
      </c>
      <c r="S25">
        <f>R25/O25</f>
        <v>2.6325548971795076E-2</v>
      </c>
      <c r="T25" s="1">
        <f>_xlfn.STDEV.S(O13:O21)</f>
        <v>3410037.5349443955</v>
      </c>
    </row>
    <row r="26" spans="1:34">
      <c r="D26" s="1"/>
      <c r="Q26" s="2"/>
      <c r="R26" s="2"/>
      <c r="S26" s="2"/>
    </row>
    <row r="27" spans="1:34">
      <c r="P27" s="1"/>
    </row>
    <row r="45" spans="2:2">
      <c r="B45" t="s">
        <v>36</v>
      </c>
    </row>
    <row r="46" spans="2:2">
      <c r="B46" t="e">
        <f>ABS(B10-#REF!)/#REF!</f>
        <v>#REF!</v>
      </c>
    </row>
  </sheetData>
  <conditionalFormatting sqref="X13:AG22">
    <cfRule type="cellIs" dxfId="3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2016-12-16T14:35:05Z</dcterms:modified>
</cp:coreProperties>
</file>