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 activeTab="2"/>
  </bookViews>
  <sheets>
    <sheet name="Guide de commande" sheetId="3" r:id="rId1"/>
    <sheet name="BOM Stock" sheetId="2" r:id="rId2"/>
    <sheet name="BOM Unité" sheetId="1" r:id="rId3"/>
    <sheet name="BOM Multiref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K16" i="1" l="1"/>
  <c r="L16" i="1"/>
  <c r="L17" i="1"/>
  <c r="G4" i="3"/>
  <c r="G9" i="3"/>
  <c r="G17" i="3"/>
  <c r="G11" i="3"/>
  <c r="G12" i="3"/>
  <c r="G13" i="3"/>
  <c r="G14" i="3"/>
  <c r="G19" i="3"/>
  <c r="G15" i="3"/>
  <c r="G16" i="3"/>
  <c r="G18" i="3"/>
  <c r="G20" i="3"/>
  <c r="G22" i="3"/>
  <c r="G27" i="3"/>
  <c r="G28" i="3"/>
  <c r="G23" i="3"/>
  <c r="G24" i="3"/>
  <c r="G25" i="3"/>
  <c r="G29" i="3"/>
  <c r="G26" i="3"/>
  <c r="G30" i="3"/>
  <c r="G33" i="3"/>
  <c r="F4" i="3"/>
  <c r="F9" i="3"/>
  <c r="F17" i="3"/>
  <c r="F11" i="3"/>
  <c r="F12" i="3"/>
  <c r="F13" i="3"/>
  <c r="F14" i="3"/>
  <c r="F19" i="3"/>
  <c r="F15" i="3"/>
  <c r="F16" i="3"/>
  <c r="F18" i="3"/>
  <c r="F20" i="3"/>
  <c r="F22" i="3"/>
  <c r="F27" i="3"/>
  <c r="F28" i="3"/>
  <c r="F23" i="3"/>
  <c r="F24" i="3"/>
  <c r="F25" i="3"/>
  <c r="F29" i="3"/>
  <c r="F26" i="3"/>
  <c r="F30" i="3"/>
  <c r="F33" i="3"/>
  <c r="E4" i="3"/>
  <c r="E5" i="3"/>
  <c r="H5" i="3" s="1"/>
  <c r="E6" i="3"/>
  <c r="H6" i="3" s="1"/>
  <c r="E7" i="3"/>
  <c r="H7" i="3" s="1"/>
  <c r="E8" i="3"/>
  <c r="H8" i="3" s="1"/>
  <c r="E9" i="3"/>
  <c r="H9" i="3" s="1"/>
  <c r="I9" i="3" s="1"/>
  <c r="E10" i="3"/>
  <c r="H10" i="3" s="1"/>
  <c r="E17" i="3"/>
  <c r="H17" i="3" s="1"/>
  <c r="E11" i="3"/>
  <c r="H11" i="3" s="1"/>
  <c r="E12" i="3"/>
  <c r="H12" i="3" s="1"/>
  <c r="E13" i="3"/>
  <c r="H13" i="3" s="1"/>
  <c r="I13" i="3" s="1"/>
  <c r="E14" i="3"/>
  <c r="H14" i="3" s="1"/>
  <c r="E19" i="3"/>
  <c r="H19" i="3" s="1"/>
  <c r="E15" i="3"/>
  <c r="H15" i="3" s="1"/>
  <c r="E16" i="3"/>
  <c r="H16" i="3" s="1"/>
  <c r="I16" i="3" s="1"/>
  <c r="E18" i="3"/>
  <c r="H18" i="3" s="1"/>
  <c r="E20" i="3"/>
  <c r="H20" i="3" s="1"/>
  <c r="E21" i="3"/>
  <c r="H21" i="3" s="1"/>
  <c r="E22" i="3"/>
  <c r="H22" i="3" s="1"/>
  <c r="E27" i="3"/>
  <c r="H27" i="3" s="1"/>
  <c r="E28" i="3"/>
  <c r="H28" i="3" s="1"/>
  <c r="E23" i="3"/>
  <c r="H23" i="3" s="1"/>
  <c r="E24" i="3"/>
  <c r="E25" i="3"/>
  <c r="H25" i="3" s="1"/>
  <c r="E29" i="3"/>
  <c r="H29" i="3" s="1"/>
  <c r="E26" i="3"/>
  <c r="H26" i="3" s="1"/>
  <c r="E31" i="3"/>
  <c r="H31" i="3" s="1"/>
  <c r="E34" i="3"/>
  <c r="H34" i="3" s="1"/>
  <c r="E30" i="3"/>
  <c r="H30" i="3" s="1"/>
  <c r="E33" i="3"/>
  <c r="H33" i="3" s="1"/>
  <c r="I33" i="3" s="1"/>
  <c r="E32" i="3"/>
  <c r="H32" i="3" s="1"/>
  <c r="E35" i="3"/>
  <c r="H35" i="3" s="1"/>
  <c r="E36" i="3"/>
  <c r="H36" i="3" s="1"/>
  <c r="E3" i="3"/>
  <c r="H3" i="3" s="1"/>
  <c r="D8" i="3"/>
  <c r="D9" i="3"/>
  <c r="D10" i="3"/>
  <c r="D17" i="3"/>
  <c r="D11" i="3"/>
  <c r="D12" i="3"/>
  <c r="D13" i="3"/>
  <c r="D14" i="3"/>
  <c r="D19" i="3"/>
  <c r="D15" i="3"/>
  <c r="D16" i="3"/>
  <c r="D18" i="3"/>
  <c r="D20" i="3"/>
  <c r="D21" i="3"/>
  <c r="D22" i="3"/>
  <c r="D27" i="3"/>
  <c r="D28" i="3"/>
  <c r="D23" i="3"/>
  <c r="D24" i="3"/>
  <c r="D25" i="3"/>
  <c r="D29" i="3"/>
  <c r="D26" i="3"/>
  <c r="D31" i="3"/>
  <c r="D34" i="3"/>
  <c r="D30" i="3"/>
  <c r="D33" i="3"/>
  <c r="D32" i="3"/>
  <c r="D35" i="3"/>
  <c r="D36" i="3"/>
  <c r="D4" i="3"/>
  <c r="D5" i="3"/>
  <c r="D6" i="3"/>
  <c r="D7" i="3"/>
  <c r="D3" i="3"/>
  <c r="H4" i="3"/>
  <c r="I4" i="3" s="1"/>
  <c r="H24" i="3"/>
  <c r="K17" i="1"/>
  <c r="J4" i="3" l="1"/>
  <c r="I28" i="3"/>
  <c r="I27" i="3"/>
  <c r="J27" i="3" s="1"/>
  <c r="I14" i="3"/>
  <c r="J14" i="3" s="1"/>
  <c r="J16" i="3"/>
  <c r="I22" i="3"/>
  <c r="J22" i="3" s="1"/>
  <c r="I24" i="3"/>
  <c r="J24" i="3" s="1"/>
  <c r="I26" i="3"/>
  <c r="J26" i="3" s="1"/>
  <c r="I23" i="3"/>
  <c r="J23" i="3" s="1"/>
  <c r="I15" i="3"/>
  <c r="J15" i="3" s="1"/>
  <c r="I12" i="3"/>
  <c r="J12" i="3" s="1"/>
  <c r="I20" i="3"/>
  <c r="J20" i="3" s="1"/>
  <c r="I18" i="3"/>
  <c r="J18" i="3" s="1"/>
  <c r="J13" i="3"/>
  <c r="I29" i="3"/>
  <c r="J29" i="3" s="1"/>
  <c r="I11" i="3"/>
  <c r="J11" i="3" s="1"/>
  <c r="I30" i="3"/>
  <c r="J30" i="3" s="1"/>
  <c r="I25" i="3"/>
  <c r="J25" i="3" s="1"/>
  <c r="I19" i="3"/>
  <c r="J19" i="3" s="1"/>
  <c r="I17" i="3"/>
  <c r="J17" i="3" s="1"/>
  <c r="J33" i="3"/>
  <c r="J9" i="3"/>
  <c r="J28" i="3"/>
  <c r="G31" i="1"/>
  <c r="F31" i="1"/>
  <c r="D31" i="1"/>
  <c r="G34" i="3" s="1"/>
  <c r="I34" i="3" s="1"/>
  <c r="C31" i="1"/>
  <c r="E14" i="1"/>
  <c r="G8" i="1"/>
  <c r="F8" i="1"/>
  <c r="D8" i="1"/>
  <c r="G35" i="3" s="1"/>
  <c r="I35" i="3" s="1"/>
  <c r="G7" i="1"/>
  <c r="F7" i="1"/>
  <c r="D7" i="1"/>
  <c r="G32" i="3" s="1"/>
  <c r="I32" i="3" s="1"/>
  <c r="J32" i="3" s="1"/>
  <c r="C8" i="1"/>
  <c r="C7" i="1"/>
  <c r="F32" i="3" s="1"/>
  <c r="F21" i="1"/>
  <c r="D21" i="1"/>
  <c r="G36" i="3" s="1"/>
  <c r="I36" i="3" s="1"/>
  <c r="C21" i="1"/>
  <c r="F36" i="3" s="1"/>
  <c r="E36" i="1"/>
  <c r="E33" i="1"/>
  <c r="E35" i="1"/>
  <c r="E3" i="1"/>
  <c r="M10" i="1"/>
  <c r="M9" i="1"/>
  <c r="M7" i="1"/>
  <c r="M6" i="1"/>
  <c r="M5" i="1"/>
  <c r="J36" i="3" l="1"/>
  <c r="F8" i="3"/>
  <c r="F35" i="3"/>
  <c r="J35" i="3" s="1"/>
  <c r="F31" i="3"/>
  <c r="F34" i="3"/>
  <c r="J34" i="3" s="1"/>
  <c r="F6" i="3"/>
  <c r="F7" i="3"/>
  <c r="F3" i="3"/>
  <c r="F21" i="3"/>
  <c r="G5" i="3"/>
  <c r="I5" i="3" s="1"/>
  <c r="G8" i="3"/>
  <c r="I8" i="3" s="1"/>
  <c r="G3" i="3"/>
  <c r="I3" i="3" s="1"/>
  <c r="G21" i="3"/>
  <c r="I21" i="3" s="1"/>
  <c r="J21" i="3" s="1"/>
  <c r="G6" i="3"/>
  <c r="I6" i="3" s="1"/>
  <c r="J6" i="3" s="1"/>
  <c r="G7" i="3"/>
  <c r="I7" i="3" s="1"/>
  <c r="J7" i="3" s="1"/>
  <c r="G10" i="3"/>
  <c r="I10" i="3" s="1"/>
  <c r="G31" i="3"/>
  <c r="I31" i="3" s="1"/>
  <c r="J31" i="3" s="1"/>
  <c r="M4" i="1"/>
  <c r="F5" i="3"/>
  <c r="M8" i="1"/>
  <c r="K6" i="1" s="1"/>
  <c r="F10" i="3"/>
  <c r="M3" i="1"/>
  <c r="E31" i="1"/>
  <c r="E15" i="1"/>
  <c r="E16" i="1"/>
  <c r="E19" i="1"/>
  <c r="E11" i="1"/>
  <c r="E10" i="1"/>
  <c r="E17" i="1"/>
  <c r="E28" i="1"/>
  <c r="E27" i="1"/>
  <c r="E8" i="1"/>
  <c r="E12" i="1"/>
  <c r="E34" i="1"/>
  <c r="E18" i="1"/>
  <c r="E25" i="1"/>
  <c r="E5" i="1"/>
  <c r="E7" i="1"/>
  <c r="E9" i="1"/>
  <c r="E37" i="1"/>
  <c r="E6" i="1"/>
  <c r="E4" i="1"/>
  <c r="E20" i="1"/>
  <c r="E30" i="1"/>
  <c r="E26" i="1"/>
  <c r="E24" i="1"/>
  <c r="E23" i="1"/>
  <c r="E13" i="1"/>
  <c r="E32" i="1"/>
  <c r="E22" i="1"/>
  <c r="E21" i="1"/>
  <c r="M11" i="1"/>
  <c r="K9" i="1" s="1"/>
  <c r="J3" i="3" l="1"/>
  <c r="J8" i="3"/>
  <c r="K3" i="1"/>
  <c r="K2" i="1" s="1"/>
  <c r="J5" i="3"/>
  <c r="B2" i="3" s="1"/>
  <c r="J10" i="3"/>
</calcChain>
</file>

<file path=xl/sharedStrings.xml><?xml version="1.0" encoding="utf-8"?>
<sst xmlns="http://schemas.openxmlformats.org/spreadsheetml/2006/main" count="271" uniqueCount="132">
  <si>
    <t>Designation</t>
  </si>
  <si>
    <t>Quantité</t>
  </si>
  <si>
    <t>Coût cummulé</t>
  </si>
  <si>
    <t>Lien fournisseur</t>
  </si>
  <si>
    <t>Fournisseur</t>
  </si>
  <si>
    <t>Catégorie</t>
  </si>
  <si>
    <t>CMP</t>
  </si>
  <si>
    <t>R-COMMON</t>
  </si>
  <si>
    <t>BSC016N06NS</t>
  </si>
  <si>
    <t>Farnell</t>
  </si>
  <si>
    <t>https://fr.farnell.com/infineon/bsc016n06nsatma1/mosfet-canal-n-60v-100a-tdson/dp/2432702?st=BSC016N06NSATMA1</t>
  </si>
  <si>
    <t>https://fr.farnell.com/amphenol/acjs-mhdr/jack-6-35mm-pcb-stereo/dp/1835537?st=ACJSMHDR</t>
  </si>
  <si>
    <t>https://fr.farnell.com/laird-technologies/bl652-sa-01/module-ble-nfc-2-402-2-48ghz-96dbm/dp/2664536?st=BL652</t>
  </si>
  <si>
    <t>https://fr.farnell.com/multicomp/mcwr06x1002ftl/res-couche-epaisse-10k-1-0-1w/dp/2447230</t>
  </si>
  <si>
    <t>https://fr.farnell.com/multicomp/mcwr06x2200ftl/res-couche-epaisse-220r-1-0-1w/dp/2447298</t>
  </si>
  <si>
    <t>https://fr.farnell.com/omron/b3s-1000/commutateur-cms-spno-50ma/dp/177807?scope=partnumberlookahead&amp;ost=B3S-1000&amp;searchref=searchlookahead&amp;exaMfpn=true&amp;ddkey=https%3Afr-FR%2FElement14_France%2Fw%2Fsearch</t>
  </si>
  <si>
    <t>https://fr.farnell.com/diodes-inc/abs10a-13/diode-pont-redresseur-1-ph-1a/dp/3127182?st=ABS10A13</t>
  </si>
  <si>
    <t>https://fr.farnell.com/c-k-components/js102011saqn/commutateur-spdt-0-6a-6vdc-lateral/dp/2320017?st=JS102011SAQN</t>
  </si>
  <si>
    <t>https://fr.farnell.com/on-semiconductor/mmsd4148t1g/diode-rapide-sod-123/dp/9556079?st=MMSD4148T1G</t>
  </si>
  <si>
    <t>https://fr.farnell.com/texas-instruments/lp2951-33d/ic-volt-reg-3-3v-mcrpwr-sd-8soic/dp/3122132?st=LP2951-33D</t>
  </si>
  <si>
    <t>https://fr.farnell.com/broadcom-limited/hsmw-c191/led-cms-blanc/dp/1058375</t>
  </si>
  <si>
    <t>https://fr.farnell.com/murata/grm21br60j476me15l/condensateur-47-f-6-3v-20-x5r/dp/2362109</t>
  </si>
  <si>
    <t>https://fr.farnell.com/pro-signal/ps000122/phone-audio-conn-plug-3pos-6-35mm/dp/2910967?ost=PS000122&amp;ddkey=https%3Afr-FR%2FElement14_France%2Fsearch</t>
  </si>
  <si>
    <t>https://fr.farnell.com/vcc-visual-communications-company/cmc321ctp/lentille-led-5mm-pc-transparent/dp/2750614?st=CMC321CTP</t>
  </si>
  <si>
    <t>ACJSMHDR</t>
  </si>
  <si>
    <t>Coût/unité article</t>
  </si>
  <si>
    <t>Quantité pièces/article</t>
  </si>
  <si>
    <t>B3S-1000</t>
  </si>
  <si>
    <t>ABS10A13</t>
  </si>
  <si>
    <t>JS102011SAQN</t>
  </si>
  <si>
    <t>MMSD4148T1G</t>
  </si>
  <si>
    <t>LP2951-3.3_SOIC</t>
  </si>
  <si>
    <t>LED_White</t>
  </si>
  <si>
    <t>LED_RG</t>
  </si>
  <si>
    <t>PS000122</t>
  </si>
  <si>
    <t>LED lens</t>
  </si>
  <si>
    <t>G-COMMON</t>
  </si>
  <si>
    <t>MCP6541T-I_OT</t>
  </si>
  <si>
    <t>https://fr.farnell.com/microchip/mcp6541t-i-ot/comp-pushpull-1-6v-sngl-5sot23/dp/1825063?st=MCP6541T-I_OT</t>
  </si>
  <si>
    <t>https://fr.farnell.com/laird/453-00005c/bl651-series-bt-v5-module-int/dp/3020333?ost=453-00005&amp;ddkey=https%3Afr-FR%2FElement14_France%2Fsearch</t>
  </si>
  <si>
    <t>FSR</t>
  </si>
  <si>
    <t>https://fr.farnell.com/bak/lp-402025-is-3/batterie-lithium-pol-3-7v-165/dp/2077885</t>
  </si>
  <si>
    <t>Li-Ion</t>
  </si>
  <si>
    <t>PCB</t>
  </si>
  <si>
    <t>COMMON</t>
  </si>
  <si>
    <t>BTR</t>
  </si>
  <si>
    <t>JLCPCB</t>
  </si>
  <si>
    <t>Sculpteo</t>
  </si>
  <si>
    <t>Connecteur fil à carte</t>
  </si>
  <si>
    <t>https://fr.farnell.com/molex/51047-0300/connecteur-male-3-voies-1-rangee/dp/2112415?st=510470300</t>
  </si>
  <si>
    <t>https://fr.farnell.com/molex/50125-8000/contact-m-le-26awg-a-sertir/dp/1756745?st=501258000</t>
  </si>
  <si>
    <t>Contact PicoBlade</t>
  </si>
  <si>
    <t>Gaine Thr</t>
  </si>
  <si>
    <t>https://fr.farnell.com/pro-power/13654/gaine-thermo-2-1-noir-50-8-5m/dp/1008451?ost=1008451&amp;ddkey=https%3Afr-FR%2FElement14_France%2Fsearch</t>
  </si>
  <si>
    <t>BOM Unité</t>
  </si>
  <si>
    <t>https://fr.farnell.com/kingbright/kptb-1612surkcgkc/led-cms-80-50mcd-rouge-vert/dp/2426234?st=KPTB1612SURKCGKC</t>
  </si>
  <si>
    <t>CMP-R-COMMON</t>
  </si>
  <si>
    <t>CMP-G-COMMON</t>
  </si>
  <si>
    <t>PCB-COMMON</t>
  </si>
  <si>
    <t>BTR-COMMON</t>
  </si>
  <si>
    <t>BTR-G-COMMON</t>
  </si>
  <si>
    <t>BOM/unité</t>
  </si>
  <si>
    <t>Res 10Kr 0603</t>
  </si>
  <si>
    <t>Res 220r  0603</t>
  </si>
  <si>
    <t>Cap 4.7uC  0603</t>
  </si>
  <si>
    <t>Cap 47uC  0603</t>
  </si>
  <si>
    <t>CMP-COMMON</t>
  </si>
  <si>
    <t>Câble multiconducteurs</t>
  </si>
  <si>
    <t>https://fr.farnell.com/pro-power/2183y-0-50mmblk/cable-flex-2183y-0-50mm-noir-au/dp/1387675?ost=1387675&amp;ddkey=https%3Afr-FR%2FElement14_France%2Fsearch</t>
  </si>
  <si>
    <t>https://fr.farnell.com/concordia-technologies/6009404/cable-equipment-wire-7-0-20mm/dp/3377814?ost=3377814&amp;ddkey=https%3Afr-FR%2FElement14_France%2Fsearch</t>
  </si>
  <si>
    <t>Câble multibrins 0.032mm²</t>
  </si>
  <si>
    <t>DMC2400UV</t>
  </si>
  <si>
    <t>Res 1Mr 0603</t>
  </si>
  <si>
    <t>https://fr.farnell.com/multicomp/mcmr06x1004ftl/res-ceramique-1m-1-0-1w-0603/dp/2073351</t>
  </si>
  <si>
    <t>Res 1.5Mr 0603</t>
  </si>
  <si>
    <t>https://fr.farnell.com/yageo/rc0603fr-071m5l/res-couche-epaisse-1m5-1-0-1w/dp/9238867</t>
  </si>
  <si>
    <t>Res 180Kr 0603</t>
  </si>
  <si>
    <t>10104110-0001LF</t>
  </si>
  <si>
    <t>Liste fournisseurs</t>
  </si>
  <si>
    <t>Mouser</t>
  </si>
  <si>
    <t>/</t>
  </si>
  <si>
    <t>kit boitiers Sculpteo</t>
  </si>
  <si>
    <t>type2</t>
  </si>
  <si>
    <t>reference article</t>
  </si>
  <si>
    <t>Multiref boitiers</t>
  </si>
  <si>
    <t>Multiref BL651</t>
  </si>
  <si>
    <t>BL651 farnell</t>
  </si>
  <si>
    <t>BL651 mouser</t>
  </si>
  <si>
    <t>farnell</t>
  </si>
  <si>
    <t>mouser</t>
  </si>
  <si>
    <t>https://www.mouser.fr/ProductDetail/Laird-Connectivity/453-00006?qs=sGAEpiMZZMve4%2FbfQkoj%252BClbjthP530AuLaHPhZg0Fs%3D</t>
  </si>
  <si>
    <t>Multiref BL652</t>
  </si>
  <si>
    <t>BL652 farnell</t>
  </si>
  <si>
    <t>BL652 mouser</t>
  </si>
  <si>
    <t>https://www.mouser.fr/ProductDetail/Laird-Connectivity/BL652-SA-01?qs=sGAEpiMZZMtQRtO1VXT3j3wMFQ951d4Cq%252B4orKf%252BrSA%3D</t>
  </si>
  <si>
    <t>type3</t>
  </si>
  <si>
    <t>NetDot</t>
  </si>
  <si>
    <t>https://www.amazon.fr/gp/product/B07CHCV7M6/ref=ppx_yo_dt_b_asin_title_o01_s00?ie=UTF8&amp;psc=1</t>
  </si>
  <si>
    <t>Multiref pcb</t>
  </si>
  <si>
    <t>pcb JLCPCB</t>
  </si>
  <si>
    <t>PCBA</t>
  </si>
  <si>
    <t>N</t>
  </si>
  <si>
    <t>PCBA status</t>
  </si>
  <si>
    <t>Y-SMD</t>
  </si>
  <si>
    <t>Y-ThuHole</t>
  </si>
  <si>
    <t>BOS</t>
  </si>
  <si>
    <t>SMD</t>
  </si>
  <si>
    <t>THUH</t>
  </si>
  <si>
    <t>BOM Commande</t>
  </si>
  <si>
    <t>Quantité à produire</t>
  </si>
  <si>
    <t>Quantité pièces production</t>
  </si>
  <si>
    <t>Quantité article à commander</t>
  </si>
  <si>
    <t>Total BOM</t>
  </si>
  <si>
    <t>kit boitiers I.Materialise</t>
  </si>
  <si>
    <t>I.Materialise</t>
  </si>
  <si>
    <t>BOS Commande</t>
  </si>
  <si>
    <t>Service</t>
  </si>
  <si>
    <t>fournisseur</t>
  </si>
  <si>
    <t>PAR</t>
  </si>
  <si>
    <t>PCB-WAY</t>
  </si>
  <si>
    <t>Capacité et coût</t>
  </si>
  <si>
    <t>UO</t>
  </si>
  <si>
    <t>Prix/UO</t>
  </si>
  <si>
    <t>https://fr.farnell.com/yageo/cc0603zry5v5bb475/condensateur-4-7-f-6-3v-y5v-0603/dp/9402128</t>
  </si>
  <si>
    <t>MCP73831T-2ACI/OT</t>
  </si>
  <si>
    <t>https://fr.farnell.com/microchip/mcp73831t-2aci-ot/controleur-de-charge-li-ion-li/dp/1332158?st=MCP73831</t>
  </si>
  <si>
    <t>https://fr.farnell.com/diodes-inc/dmc2400uv-7/mosfet-canal-n-p-20v-sot-563-6/dp/2543523?st=DMC2400UV6/dp/2543523?st=DMC2400UV</t>
  </si>
  <si>
    <t>MCP4461-103E/ML</t>
  </si>
  <si>
    <t>https://fr.farnell.com/microchip/mcp4461-103e-ml/ic-dgtl-pot-257taps-10k-20qfn/dp/1863948?scope=partnumberlookahead&amp;ost=MCP4461-103E%2FML&amp;searchref=searchlookahead&amp;exaMfpn=true&amp;ddkey=https%3Afr-FR%2FElement14_France%2Fw%2Fsearch20qfn/dp/1863948?scope=partnumberlookahead&amp;ost=MCP4461-103E%2FML&amp;searchref=searchlookahead&amp;exaMfpn=true&amp;ddkey=https%3Afr-FR%2FElement14_France%2Fw%2Fsearch</t>
  </si>
  <si>
    <t>https://fr.farnell.com/amphenol-icc-fci/10104110-0001lf/embase-micro-usb-2-0-type-b-cms/dp/2293753?ost=10104110-0001LF&amp;ddkey=https%3Afr-FR%2FElement14_France%2Fsearchcms/dp/2293753?gclid=Cj0KCQjwhZr1BRCLARIsALjRVQNMZRWnJBi_RvgRIjVLN9kmwKWSTHElPq7TDtiuyfpyIggXkWVGM30aAowdEALw_wcB&amp;gross_price=true&amp;mckv=s_dc|pcrid|80994017342|plid||kword||match||slid||product|2293753|pgrid|18029979182|ptaid|aud-890751158535:pla-41477300408|&amp;CMP=KNC-GFR-GEN-SHOPPING_TEST_93_08-APR-2020_T</t>
  </si>
  <si>
    <t>https://fr.farnell.com/yageo/rc0603fr-07180kl/res-couche-epaisse-180k-1-0-1w/dp/9238751</t>
  </si>
  <si>
    <t>Câble chargeur batterie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</si>
</sst>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3" fillId="0" borderId="1" xfId="1" applyBorder="1" applyAlignment="1">
      <alignment shrinkToFit="1"/>
    </xf>
    <xf numFmtId="0" fontId="3" fillId="0" borderId="1" xfId="1" applyFill="1" applyBorder="1" applyAlignment="1">
      <alignment shrinkToFit="1"/>
    </xf>
    <xf numFmtId="0" fontId="0" fillId="0" borderId="1" xfId="0" applyFill="1" applyBorder="1"/>
    <xf numFmtId="0" fontId="1" fillId="0" borderId="0" xfId="0" applyFont="1"/>
    <xf numFmtId="0" fontId="0" fillId="0" borderId="2" xfId="0" applyFill="1" applyBorder="1"/>
    <xf numFmtId="0" fontId="0" fillId="0" borderId="2" xfId="0" applyBorder="1"/>
    <xf numFmtId="0" fontId="3" fillId="0" borderId="2" xfId="1" applyBorder="1" applyAlignment="1">
      <alignment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1" applyBorder="1" applyAlignment="1">
      <alignment shrinkToFit="1"/>
    </xf>
    <xf numFmtId="0" fontId="0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Border="1"/>
    <xf numFmtId="0" fontId="3" fillId="0" borderId="0" xfId="1" applyFont="1" applyFill="1" applyBorder="1" applyAlignment="1">
      <alignment shrinkToFit="1"/>
    </xf>
    <xf numFmtId="0" fontId="0" fillId="0" borderId="0" xfId="0" applyFill="1" applyBorder="1"/>
    <xf numFmtId="0" fontId="3" fillId="3" borderId="7" xfId="1" applyFill="1" applyBorder="1" applyAlignment="1">
      <alignment horizontal="center" vertical="center" shrinkToFit="1"/>
    </xf>
    <xf numFmtId="0" fontId="3" fillId="0" borderId="7" xfId="1" applyBorder="1" applyAlignment="1">
      <alignment horizontal="center" vertical="center" shrinkToFit="1"/>
    </xf>
    <xf numFmtId="0" fontId="0" fillId="3" borderId="9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shrinkToFit="1"/>
    </xf>
    <xf numFmtId="0" fontId="5" fillId="0" borderId="0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3" xfId="0" applyBorder="1"/>
    <xf numFmtId="0" fontId="8" fillId="4" borderId="1" xfId="2" applyBorder="1"/>
    <xf numFmtId="0" fontId="8" fillId="4" borderId="2" xfId="2" applyBorder="1"/>
    <xf numFmtId="0" fontId="8" fillId="4" borderId="1" xfId="2" applyBorder="1" applyAlignment="1">
      <alignment horizontal="center" vertical="center"/>
    </xf>
    <xf numFmtId="0" fontId="8" fillId="4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Lien hypertexte" xfId="1" builtinId="8"/>
    <cellStyle name="Neutre" xfId="2" builtinId="28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au14" displayName="Tableau14" ref="D2:J36" totalsRowShown="0" headerRowDxfId="57">
  <autoFilter ref="D2:J36"/>
  <sortState ref="D3:J36">
    <sortCondition descending="1" ref="F2:F36"/>
  </sortState>
  <tableColumns count="7">
    <tableColumn id="1" name="Designation" dataDxfId="56">
      <calculatedColumnFormula>'BOM Unité'!A3</calculatedColumnFormula>
    </tableColumn>
    <tableColumn id="2" name="Quantité" dataDxfId="55">
      <calculatedColumnFormula>'BOM Unité'!B3</calculatedColumnFormula>
    </tableColumn>
    <tableColumn id="3" name="Coût/unité article" dataDxfId="54">
      <calculatedColumnFormula>'BOM Unité'!C3</calculatedColumnFormula>
    </tableColumn>
    <tableColumn id="4" name="Quantité pièces/article" dataDxfId="53">
      <calculatedColumnFormula>'BOM Unité'!D3</calculatedColumnFormula>
    </tableColumn>
    <tableColumn id="10" name="Quantité pièces production" dataDxfId="52" dataCellStyle="Neutre">
      <calculatedColumnFormula>$B$1*Tableau14[[#This Row],[Quantité]]</calculatedColumnFormula>
    </tableColumn>
    <tableColumn id="11" name="Quantité article à commander" dataDxfId="51" dataCellStyle="Neutre">
      <calculatedColumnFormula>ROUNDUP(Tableau14[[#This Row],[Quantité pièces production]]/Tableau14[[#This Row],[Quantité pièces/article]],0)</calculatedColumnFormula>
    </tableColumn>
    <tableColumn id="5" name="Coût cummulé" dataDxfId="50" dataCellStyle="Neutre">
      <calculatedColumnFormula>Tableau14[[#This Row],[Quantité article à commander]]*Tableau14[[#This Row],[Quantité pièces/article]]*Tableau14[[#This Row],[Coût/unité article]]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I37" totalsRowShown="0" headerRowDxfId="49">
  <autoFilter ref="A2:I37"/>
  <sortState ref="A3:I37">
    <sortCondition ref="A2:A37"/>
  </sortState>
  <tableColumns count="9">
    <tableColumn id="1" name="Designation" dataDxfId="48"/>
    <tableColumn id="2" name="Quantité" dataDxfId="47"/>
    <tableColumn id="3" name="Coût/unité article" dataDxfId="46"/>
    <tableColumn id="4" name="Quantité pièces/article" dataDxfId="45"/>
    <tableColumn id="5" name="Coût cummulé" dataDxfId="44">
      <calculatedColumnFormula>B3*C3</calculatedColumnFormula>
    </tableColumn>
    <tableColumn id="6" name="Fournisseur" dataDxfId="43"/>
    <tableColumn id="7" name="Lien fournisseur" dataDxfId="42" dataCellStyle="Lien hypertexte"/>
    <tableColumn id="8" name="Catégorie" dataDxfId="41"/>
    <tableColumn id="9" name="PCBA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multiref_boitiers" displayName="multiref_boitiers" ref="D2:H6" totalsRowShown="0" headerRowDxfId="39" dataDxfId="37" headerRowBorderDxfId="38" tableBorderDxfId="36" totalsRowBorderDxfId="35">
  <autoFilter ref="D2:H6"/>
  <tableColumns count="5">
    <tableColumn id="1" name="reference article" dataDxfId="34"/>
    <tableColumn id="2" name="Coût/unité article" dataDxfId="33"/>
    <tableColumn id="3" name="Quantité pièces/article" dataDxfId="32"/>
    <tableColumn id="4" name="Fournisseur" dataDxfId="31"/>
    <tableColumn id="5" name="Lien fournisseur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multiref_BL651" displayName="multiref_BL651" ref="D9:H11" totalsRowShown="0" headerRowDxfId="29" dataDxfId="27" headerRowBorderDxfId="28" tableBorderDxfId="26" totalsRowBorderDxfId="25">
  <autoFilter ref="D9:H11"/>
  <tableColumns count="5">
    <tableColumn id="1" name="reference article" dataDxfId="24"/>
    <tableColumn id="2" name="Coût/unité article" dataDxfId="23"/>
    <tableColumn id="3" name="Quantité pièces/article" dataDxfId="22"/>
    <tableColumn id="4" name="Fournisseur" dataDxfId="21"/>
    <tableColumn id="5" name="Lien fournisseur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multiref_BL6517" displayName="multiref_BL6517" ref="D14:H16" totalsRowShown="0" headerRowDxfId="19" dataDxfId="17" headerRowBorderDxfId="18" tableBorderDxfId="16" totalsRowBorderDxfId="15">
  <autoFilter ref="D14:H16"/>
  <tableColumns count="5">
    <tableColumn id="1" name="reference article" dataDxfId="14"/>
    <tableColumn id="2" name="Coût/unité article" dataDxfId="13"/>
    <tableColumn id="3" name="Quantité pièces/article" dataDxfId="12"/>
    <tableColumn id="4" name="Fournisseur" dataDxfId="11"/>
    <tableColumn id="5" name="Lien fournisseur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multiref_pcb" displayName="multiref_pcb" ref="J2:N3" totalsRowShown="0" headerRowDxfId="9" dataDxfId="7" headerRowBorderDxfId="8" tableBorderDxfId="6" totalsRowBorderDxfId="5">
  <autoFilter ref="J2:N3"/>
  <tableColumns count="5">
    <tableColumn id="1" name="reference article" dataDxfId="4"/>
    <tableColumn id="2" name="Coût/unité article" dataDxfId="3"/>
    <tableColumn id="3" name="Quantité pièces/article" dataDxfId="2"/>
    <tableColumn id="4" name="Fournisseur" dataDxfId="1"/>
    <tableColumn id="5" name="Lien fourniss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farnell.com/microchip/mcp6541t-i-ot/comp-pushpull-1-6v-sngl-5sot23/dp/1825063?st=MCP6541T-I_OT" TargetMode="External"/><Relationship Id="rId18" Type="http://schemas.openxmlformats.org/officeDocument/2006/relationships/hyperlink" Target="https://fr.farnell.com/molex/51047-0300/connecteur-male-3-voies-1-rangee/dp/2112415?st=510470300" TargetMode="External"/><Relationship Id="rId26" Type="http://schemas.openxmlformats.org/officeDocument/2006/relationships/hyperlink" Target="https://fr.farnell.com/multicomp/mcmr06x1004ftl/res-ceramique-1m-1-0-1w-0603/dp/2073351" TargetMode="External"/><Relationship Id="rId3" Type="http://schemas.openxmlformats.org/officeDocument/2006/relationships/hyperlink" Target="https://fr.farnell.com/laird-technologies/bl652-sa-01/module-ble-nfc-2-402-2-48ghz-96dbm/dp/2664536?st=BL652" TargetMode="External"/><Relationship Id="rId21" Type="http://schemas.openxmlformats.org/officeDocument/2006/relationships/hyperlink" Target="https://fr.farnell.com/broadcom-limited/hsmw-c191/led-cms-blanc/dp/1058375" TargetMode="External"/><Relationship Id="rId7" Type="http://schemas.openxmlformats.org/officeDocument/2006/relationships/hyperlink" Target="https://fr.farnell.com/texas-instruments/lp2951-33d/ic-volt-reg-3-3v-mcrpwr-sd-8soic/dp/3122132?st=LP2951-33D" TargetMode="External"/><Relationship Id="rId12" Type="http://schemas.openxmlformats.org/officeDocument/2006/relationships/hyperlink" Target="https://fr.farnell.com/murata/grm21br60j476me15l/condensateur-47-f-6-3v-20-x5r/dp/2362109" TargetMode="External"/><Relationship Id="rId17" Type="http://schemas.openxmlformats.org/officeDocument/2006/relationships/hyperlink" Target="https://fr.farnell.com/yageo/cc0603zry5v5bb475/condensateur-4-7-f-6-3v-y5v-0603/dp/9402128" TargetMode="External"/><Relationship Id="rId25" Type="http://schemas.openxmlformats.org/officeDocument/2006/relationships/hyperlink" Target="https://fr.farnell.com/diodes-inc/dmc2400uv-7/mosfet-canal-n-p-20v-sot-563-6/dp/2543523?st=DMC2400UV6/dp/2543523?st=DMC2400UV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s://fr.farnell.com/amphenol/acjs-mhdr/jack-6-35mm-pcb-stereo/dp/1835537?st=ACJSMHDR" TargetMode="External"/><Relationship Id="rId16" Type="http://schemas.openxmlformats.org/officeDocument/2006/relationships/hyperlink" Target="https://fr.farnell.com/multicomp/mcwr06x1002ftl/res-couche-epaisse-10k-1-0-1w/dp/2447230" TargetMode="External"/><Relationship Id="rId20" Type="http://schemas.openxmlformats.org/officeDocument/2006/relationships/hyperlink" Target="https://fr.farnell.com/pro-power/13654/gaine-thermo-2-1-noir-50-8-5m/dp/1008451?ost=1008451&amp;ddkey=https%3Afr-FR%2FElement14_France%2Fsearch" TargetMode="External"/><Relationship Id="rId29" Type="http://schemas.openxmlformats.org/officeDocument/2006/relationships/hyperlink" Target="https://fr.farnell.com/bak/lp-402025-is-3/batterie-lithium-pol-3-7v-165/dp/2077885" TargetMode="External"/><Relationship Id="rId1" Type="http://schemas.openxmlformats.org/officeDocument/2006/relationships/hyperlink" Target="https://fr.farnell.com/infineon/bsc016n06nsatma1/mosfet-canal-n-60v-100a-tdson/dp/2432702?st=BSC016N06NSATMA1" TargetMode="External"/><Relationship Id="rId6" Type="http://schemas.openxmlformats.org/officeDocument/2006/relationships/hyperlink" Target="https://fr.farnell.com/c-k-components/js102011saqn/commutateur-spdt-0-6a-6vdc-lateral/dp/2320017?st=JS102011SAQN" TargetMode="External"/><Relationship Id="rId11" Type="http://schemas.openxmlformats.org/officeDocument/2006/relationships/hyperlink" Target="https://fr.farnell.com/multicomp/mcwr06x2200ftl/res-couche-epaisse-220r-1-0-1w/dp/2447298" TargetMode="External"/><Relationship Id="rId24" Type="http://schemas.openxmlformats.org/officeDocument/2006/relationships/hyperlink" Target="https://fr.farnell.com/concordia-technologies/6009404/cable-equipment-wire-7-0-20mm/dp/3377814?ost=3377814&amp;ddkey=https%3Afr-FR%2FElement14_France%2Fsearch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fr.farnell.com/diodes-inc/abs10a-13/diode-pont-redresseur-1-ph-1a/dp/3127182?st=ABS10A13" TargetMode="External"/><Relationship Id="rId15" Type="http://schemas.openxmlformats.org/officeDocument/2006/relationships/hyperlink" Target="https://fr.farnell.com/multicomp/mcwr06x1002ftl/res-couche-epaisse-10k-1-0-1w/dp/2447230" TargetMode="External"/><Relationship Id="rId23" Type="http://schemas.openxmlformats.org/officeDocument/2006/relationships/hyperlink" Target="https://fr.farnell.com/pro-power/2183y-0-50mmblk/cable-flex-2183y-0-50mm-noir-au/dp/1387675?ost=1387675&amp;ddkey=https%3Afr-FR%2FElement14_France%2Fsearch" TargetMode="External"/><Relationship Id="rId28" Type="http://schemas.openxmlformats.org/officeDocument/2006/relationships/hyperlink" Target="https://fr.farnell.com/yageo/rc0603fr-07180kl/res-couche-epaisse-180k-1-0-1w/dp/9238751" TargetMode="External"/><Relationship Id="rId10" Type="http://schemas.openxmlformats.org/officeDocument/2006/relationships/hyperlink" Target="https://fr.farnell.com/vcc-visual-communications-company/cmc321ctp/lentille-led-5mm-pc-transparent/dp/2750614?st=CMC321CTP" TargetMode="External"/><Relationship Id="rId19" Type="http://schemas.openxmlformats.org/officeDocument/2006/relationships/hyperlink" Target="https://fr.farnell.com/molex/50125-8000/contact-m-le-26awg-a-sertir/dp/1756745?st=501258000" TargetMode="External"/><Relationship Id="rId31" Type="http://schemas.openxmlformats.org/officeDocument/2006/relationships/hyperlink" Target="https://fr.farnell.com/microchip/mcp73831t-2aci-ot/controleur-de-charge-li-ion-li/dp/1332158?st=MCP73831" TargetMode="External"/><Relationship Id="rId4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9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14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22" Type="http://schemas.openxmlformats.org/officeDocument/2006/relationships/hyperlink" Target="https://fr.farnell.com/kingbright/kptb-1612surkcgkc/led-cms-80-50mcd-rouge-vert/dp/2426234?st=KPTB1612SURKCGKC" TargetMode="External"/><Relationship Id="rId27" Type="http://schemas.openxmlformats.org/officeDocument/2006/relationships/hyperlink" Target="https://fr.farnell.com/yageo/rc0603fr-071m5l/res-couche-epaisse-1m5-1-0-1w/dp/9238867" TargetMode="External"/><Relationship Id="rId30" Type="http://schemas.openxmlformats.org/officeDocument/2006/relationships/hyperlink" Target="https://www.amazon.fr/gp/product/B07CHCV7M6/ref=ppx_yo_dt_b_asin_title_o01_s00?ie=UTF8&amp;psc=1" TargetMode="External"/><Relationship Id="rId8" Type="http://schemas.openxmlformats.org/officeDocument/2006/relationships/hyperlink" Target="https://fr.farnell.com/on-semiconductor/mmsd4148t1g/diode-rapide-sod-123/dp/9556079?st=MMSD4148T1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fr.farnell.com/laird-technologies/bl652-sa-01/module-ble-nfc-2-402-2-48ghz-96dbm/dp/2664536?st=BL652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www.mouser.fr/ProductDetail/Laird-Connectivity/453-00006?qs=sGAEpiMZZMve4%2FbfQkoj%252BClbjthP530AuLaHPhZg0Fs%3D" TargetMode="External"/><Relationship Id="rId1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hyperlink" Target="https://www.mouser.fr/ProductDetail/Laird-Connectivity/BL652-SA-01?qs=sGAEpiMZZMtQRtO1VXT3j3wMFQ951d4Cq%252B4orKf%252BrS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B1" sqref="B1"/>
    </sheetView>
  </sheetViews>
  <sheetFormatPr baseColWidth="10" defaultRowHeight="15" x14ac:dyDescent="0.25"/>
  <cols>
    <col min="1" max="1" width="18.5703125" bestFit="1" customWidth="1"/>
    <col min="4" max="4" width="25" bestFit="1" customWidth="1"/>
    <col min="7" max="7" width="24" bestFit="1" customWidth="1"/>
    <col min="8" max="8" width="27.7109375" bestFit="1" customWidth="1"/>
    <col min="9" max="9" width="29.5703125" bestFit="1" customWidth="1"/>
    <col min="10" max="10" width="16.140625" bestFit="1" customWidth="1"/>
    <col min="14" max="14" width="8" bestFit="1" customWidth="1"/>
  </cols>
  <sheetData>
    <row r="1" spans="1:17" ht="23.25" x14ac:dyDescent="0.35">
      <c r="A1" t="s">
        <v>109</v>
      </c>
      <c r="B1">
        <v>2</v>
      </c>
      <c r="D1" s="40" t="s">
        <v>108</v>
      </c>
      <c r="E1" s="40"/>
      <c r="F1" s="40"/>
      <c r="G1" s="40"/>
      <c r="H1" s="40"/>
      <c r="I1" s="40"/>
      <c r="J1" s="40"/>
      <c r="K1" s="1"/>
      <c r="L1" s="40" t="s">
        <v>115</v>
      </c>
      <c r="M1" s="40"/>
      <c r="N1" s="40"/>
      <c r="O1" s="40"/>
      <c r="P1" s="40"/>
      <c r="Q1" s="40"/>
    </row>
    <row r="2" spans="1:17" x14ac:dyDescent="0.25">
      <c r="A2" t="s">
        <v>112</v>
      </c>
      <c r="B2">
        <f>SUM(Tableau14[Coût cummulé])</f>
        <v>201.48999999999998</v>
      </c>
      <c r="D2" s="6" t="s">
        <v>0</v>
      </c>
      <c r="E2" s="6" t="s">
        <v>1</v>
      </c>
      <c r="F2" s="6" t="s">
        <v>25</v>
      </c>
      <c r="G2" s="6" t="s">
        <v>26</v>
      </c>
      <c r="H2" s="6" t="s">
        <v>110</v>
      </c>
      <c r="I2" s="6" t="s">
        <v>111</v>
      </c>
      <c r="J2" s="6" t="s">
        <v>2</v>
      </c>
      <c r="L2" t="s">
        <v>116</v>
      </c>
      <c r="M2" t="s">
        <v>117</v>
      </c>
      <c r="N2" s="39" t="s">
        <v>120</v>
      </c>
      <c r="O2" s="39"/>
      <c r="P2" s="39"/>
      <c r="Q2" s="39"/>
    </row>
    <row r="3" spans="1:17" x14ac:dyDescent="0.25">
      <c r="D3" s="5" t="str">
        <f>'BOM Unité'!A3</f>
        <v>10104110-0001LF</v>
      </c>
      <c r="E3" s="5">
        <f>'BOM Unité'!B3</f>
        <v>1</v>
      </c>
      <c r="F3" s="2">
        <f>'BOM Unité'!C3</f>
        <v>0.66900000000000004</v>
      </c>
      <c r="G3" s="2">
        <f>'BOM Unité'!D3</f>
        <v>10</v>
      </c>
      <c r="H3" s="36">
        <f>$B$1*Tableau14[[#This Row],[Quantité]]</f>
        <v>2</v>
      </c>
      <c r="I3" s="36">
        <f>ROUNDUP(Tableau14[[#This Row],[Quantité pièces production]]/Tableau14[[#This Row],[Quantité pièces/article]],0)</f>
        <v>1</v>
      </c>
      <c r="J3" s="34">
        <f>Tableau14[[#This Row],[Quantité article à commander]]*Tableau14[[#This Row],[Quantité pièces/article]]*Tableau14[[#This Row],[Coût/unité article]]</f>
        <v>6.69</v>
      </c>
      <c r="L3" s="38" t="s">
        <v>118</v>
      </c>
      <c r="M3" s="38" t="s">
        <v>119</v>
      </c>
      <c r="N3" t="s">
        <v>121</v>
      </c>
      <c r="O3">
        <v>5</v>
      </c>
      <c r="P3">
        <v>20</v>
      </c>
      <c r="Q3">
        <v>50</v>
      </c>
    </row>
    <row r="4" spans="1:17" x14ac:dyDescent="0.25">
      <c r="D4" s="5" t="str">
        <f>'BOM Unité'!A4</f>
        <v>ABS10A13</v>
      </c>
      <c r="E4" s="5">
        <f>'BOM Unité'!B4</f>
        <v>1</v>
      </c>
      <c r="F4" s="2">
        <f>'BOM Unité'!C4</f>
        <v>0.27100000000000002</v>
      </c>
      <c r="G4" s="2">
        <f>'BOM Unité'!D4</f>
        <v>1</v>
      </c>
      <c r="H4" s="36">
        <f>$B$1*Tableau14[[#This Row],[Quantité]]</f>
        <v>2</v>
      </c>
      <c r="I4" s="36">
        <f>ROUNDUP(Tableau14[[#This Row],[Quantité pièces production]]/Tableau14[[#This Row],[Quantité pièces/article]],0)</f>
        <v>2</v>
      </c>
      <c r="J4" s="34">
        <f>Tableau14[[#This Row],[Quantité article à commander]]*Tableau14[[#This Row],[Quantité pièces/article]]*Tableau14[[#This Row],[Coût/unité article]]</f>
        <v>0.54200000000000004</v>
      </c>
      <c r="L4" s="38"/>
      <c r="M4" s="38"/>
      <c r="N4" t="s">
        <v>122</v>
      </c>
    </row>
    <row r="5" spans="1:17" x14ac:dyDescent="0.25">
      <c r="D5" s="5" t="str">
        <f>'BOM Unité'!A5</f>
        <v>ACJSMHDR</v>
      </c>
      <c r="E5" s="5">
        <f>'BOM Unité'!B5</f>
        <v>1</v>
      </c>
      <c r="F5" s="2">
        <f>'BOM Unité'!C5</f>
        <v>1.05</v>
      </c>
      <c r="G5" s="2">
        <f>'BOM Unité'!D5</f>
        <v>1</v>
      </c>
      <c r="H5" s="36">
        <f>$B$1*Tableau14[[#This Row],[Quantité]]</f>
        <v>2</v>
      </c>
      <c r="I5" s="36">
        <f>ROUNDUP(Tableau14[[#This Row],[Quantité pièces production]]/Tableau14[[#This Row],[Quantité pièces/article]],0)</f>
        <v>2</v>
      </c>
      <c r="J5" s="34">
        <f>Tableau14[[#This Row],[Quantité article à commander]]*Tableau14[[#This Row],[Quantité pièces/article]]*Tableau14[[#This Row],[Coût/unité article]]</f>
        <v>2.1</v>
      </c>
    </row>
    <row r="6" spans="1:17" x14ac:dyDescent="0.25">
      <c r="D6" s="5" t="str">
        <f>'BOM Unité'!A6</f>
        <v>B3S-1000</v>
      </c>
      <c r="E6" s="5">
        <f>'BOM Unité'!B6</f>
        <v>3</v>
      </c>
      <c r="F6" s="2">
        <f>'BOM Unité'!C6</f>
        <v>0.58199999999999996</v>
      </c>
      <c r="G6" s="2">
        <f>'BOM Unité'!D6</f>
        <v>1</v>
      </c>
      <c r="H6" s="36">
        <f>$B$1*Tableau14[[#This Row],[Quantité]]</f>
        <v>6</v>
      </c>
      <c r="I6" s="36">
        <f>ROUNDUP(Tableau14[[#This Row],[Quantité pièces production]]/Tableau14[[#This Row],[Quantité pièces/article]],0)</f>
        <v>6</v>
      </c>
      <c r="J6" s="34">
        <f>Tableau14[[#This Row],[Quantité article à commander]]*Tableau14[[#This Row],[Quantité pièces/article]]*Tableau14[[#This Row],[Coût/unité article]]</f>
        <v>3.492</v>
      </c>
    </row>
    <row r="7" spans="1:17" x14ac:dyDescent="0.25">
      <c r="D7" s="5" t="str">
        <f>'BOM Unité'!A7</f>
        <v>BL651 farnell</v>
      </c>
      <c r="E7" s="5">
        <f>'BOM Unité'!B7</f>
        <v>1</v>
      </c>
      <c r="F7" s="2">
        <f>'BOM Unité'!C7</f>
        <v>6</v>
      </c>
      <c r="G7" s="2">
        <f>'BOM Unité'!D7</f>
        <v>1</v>
      </c>
      <c r="H7" s="36">
        <f>$B$1*Tableau14[[#This Row],[Quantité]]</f>
        <v>2</v>
      </c>
      <c r="I7" s="36">
        <f>ROUNDUP(Tableau14[[#This Row],[Quantité pièces production]]/Tableau14[[#This Row],[Quantité pièces/article]],0)</f>
        <v>2</v>
      </c>
      <c r="J7" s="34">
        <f>Tableau14[[#This Row],[Quantité article à commander]]*Tableau14[[#This Row],[Quantité pièces/article]]*Tableau14[[#This Row],[Coût/unité article]]</f>
        <v>12</v>
      </c>
    </row>
    <row r="8" spans="1:17" x14ac:dyDescent="0.25">
      <c r="D8" s="5" t="str">
        <f>'BOM Unité'!A8</f>
        <v>BL652 mouser</v>
      </c>
      <c r="E8" s="5">
        <f>'BOM Unité'!B8</f>
        <v>1</v>
      </c>
      <c r="F8" s="2">
        <f>'BOM Unité'!C8</f>
        <v>7</v>
      </c>
      <c r="G8" s="2">
        <f>'BOM Unité'!D8</f>
        <v>1</v>
      </c>
      <c r="H8" s="36">
        <f>$B$1*Tableau14[[#This Row],[Quantité]]</f>
        <v>2</v>
      </c>
      <c r="I8" s="36">
        <f>ROUNDUP(Tableau14[[#This Row],[Quantité pièces production]]/Tableau14[[#This Row],[Quantité pièces/article]],0)</f>
        <v>2</v>
      </c>
      <c r="J8" s="34">
        <f>Tableau14[[#This Row],[Quantité article à commander]]*Tableau14[[#This Row],[Quantité pièces/article]]*Tableau14[[#This Row],[Coût/unité article]]</f>
        <v>14</v>
      </c>
    </row>
    <row r="9" spans="1:17" x14ac:dyDescent="0.25">
      <c r="D9" s="5" t="str">
        <f>'BOM Unité'!A9</f>
        <v>BSC016N06NS</v>
      </c>
      <c r="E9" s="5">
        <f>'BOM Unité'!B9</f>
        <v>1</v>
      </c>
      <c r="F9" s="2">
        <f>'BOM Unité'!C9</f>
        <v>2.16</v>
      </c>
      <c r="G9" s="2">
        <f>'BOM Unité'!D9</f>
        <v>1</v>
      </c>
      <c r="H9" s="36">
        <f>$B$1*Tableau14[[#This Row],[Quantité]]</f>
        <v>2</v>
      </c>
      <c r="I9" s="36">
        <f>ROUNDUP(Tableau14[[#This Row],[Quantité pièces production]]/Tableau14[[#This Row],[Quantité pièces/article]],0)</f>
        <v>2</v>
      </c>
      <c r="J9" s="34">
        <f>Tableau14[[#This Row],[Quantité article à commander]]*Tableau14[[#This Row],[Quantité pièces/article]]*Tableau14[[#This Row],[Coût/unité article]]</f>
        <v>4.32</v>
      </c>
    </row>
    <row r="10" spans="1:17" x14ac:dyDescent="0.25">
      <c r="D10" s="5" t="str">
        <f>'BOM Unité'!A10</f>
        <v>Câble multibrins 0.032mm²</v>
      </c>
      <c r="E10" s="5">
        <f>'BOM Unité'!B10</f>
        <v>1</v>
      </c>
      <c r="F10" s="2">
        <f>'BOM Unité'!C10</f>
        <v>6.9999999999999999E-4</v>
      </c>
      <c r="G10" s="2">
        <f>'BOM Unité'!D10</f>
        <v>500</v>
      </c>
      <c r="H10" s="36">
        <f>$B$1*Tableau14[[#This Row],[Quantité]]</f>
        <v>2</v>
      </c>
      <c r="I10" s="36">
        <f>ROUNDUP(Tableau14[[#This Row],[Quantité pièces production]]/Tableau14[[#This Row],[Quantité pièces/article]],0)</f>
        <v>1</v>
      </c>
      <c r="J10" s="34">
        <f>Tableau14[[#This Row],[Quantité article à commander]]*Tableau14[[#This Row],[Quantité pièces/article]]*Tableau14[[#This Row],[Coût/unité article]]</f>
        <v>0.35</v>
      </c>
    </row>
    <row r="11" spans="1:17" x14ac:dyDescent="0.25">
      <c r="D11" s="5" t="str">
        <f>'BOM Unité'!A12</f>
        <v>Cap 4.7uC  0603</v>
      </c>
      <c r="E11" s="5">
        <f>'BOM Unité'!B12</f>
        <v>2</v>
      </c>
      <c r="F11" s="2">
        <f>'BOM Unité'!C12</f>
        <v>0.13500000000000001</v>
      </c>
      <c r="G11" s="2">
        <f>'BOM Unité'!D12</f>
        <v>10</v>
      </c>
      <c r="H11" s="36">
        <f>$B$1*Tableau14[[#This Row],[Quantité]]</f>
        <v>4</v>
      </c>
      <c r="I11" s="36">
        <f>ROUNDUP(Tableau14[[#This Row],[Quantité pièces production]]/Tableau14[[#This Row],[Quantité pièces/article]],0)</f>
        <v>1</v>
      </c>
      <c r="J11" s="34">
        <f>Tableau14[[#This Row],[Quantité article à commander]]*Tableau14[[#This Row],[Quantité pièces/article]]*Tableau14[[#This Row],[Coût/unité article]]</f>
        <v>1.35</v>
      </c>
    </row>
    <row r="12" spans="1:17" x14ac:dyDescent="0.25">
      <c r="D12" s="5" t="str">
        <f>'BOM Unité'!A13</f>
        <v>Cap 47uC  0603</v>
      </c>
      <c r="E12" s="5">
        <f>'BOM Unité'!B13</f>
        <v>2</v>
      </c>
      <c r="F12" s="2">
        <f>'BOM Unité'!C13</f>
        <v>0.44</v>
      </c>
      <c r="G12" s="2">
        <f>'BOM Unité'!D13</f>
        <v>5</v>
      </c>
      <c r="H12" s="36">
        <f>$B$1*Tableau14[[#This Row],[Quantité]]</f>
        <v>4</v>
      </c>
      <c r="I12" s="36">
        <f>ROUNDUP(Tableau14[[#This Row],[Quantité pièces production]]/Tableau14[[#This Row],[Quantité pièces/article]],0)</f>
        <v>1</v>
      </c>
      <c r="J12" s="34">
        <f>Tableau14[[#This Row],[Quantité article à commander]]*Tableau14[[#This Row],[Quantité pièces/article]]*Tableau14[[#This Row],[Coût/unité article]]</f>
        <v>2.2000000000000002</v>
      </c>
    </row>
    <row r="13" spans="1:17" x14ac:dyDescent="0.25">
      <c r="D13" s="5" t="str">
        <f>'BOM Unité'!A14</f>
        <v>Câble chargeur batterie</v>
      </c>
      <c r="E13" s="5">
        <f>'BOM Unité'!B14</f>
        <v>1</v>
      </c>
      <c r="F13" s="2">
        <f>'BOM Unité'!C14</f>
        <v>5.95</v>
      </c>
      <c r="G13" s="2">
        <f>'BOM Unité'!D14</f>
        <v>2</v>
      </c>
      <c r="H13" s="36">
        <f>$B$1*Tableau14[[#This Row],[Quantité]]</f>
        <v>2</v>
      </c>
      <c r="I13" s="36">
        <f>ROUNDUP(Tableau14[[#This Row],[Quantité pièces production]]/Tableau14[[#This Row],[Quantité pièces/article]],0)</f>
        <v>1</v>
      </c>
      <c r="J13" s="34">
        <f>Tableau14[[#This Row],[Quantité article à commander]]*Tableau14[[#This Row],[Quantité pièces/article]]*Tableau14[[#This Row],[Coût/unité article]]</f>
        <v>11.9</v>
      </c>
    </row>
    <row r="14" spans="1:17" x14ac:dyDescent="0.25">
      <c r="D14" s="5" t="str">
        <f>'BOM Unité'!A15</f>
        <v>Connecteur fil à carte</v>
      </c>
      <c r="E14" s="5">
        <f>'BOM Unité'!B15</f>
        <v>1</v>
      </c>
      <c r="F14" s="2">
        <f>'BOM Unité'!C15</f>
        <v>0.217</v>
      </c>
      <c r="G14" s="2">
        <f>'BOM Unité'!D15</f>
        <v>1</v>
      </c>
      <c r="H14" s="36">
        <f>$B$1*Tableau14[[#This Row],[Quantité]]</f>
        <v>2</v>
      </c>
      <c r="I14" s="36">
        <f>ROUNDUP(Tableau14[[#This Row],[Quantité pièces production]]/Tableau14[[#This Row],[Quantité pièces/article]],0)</f>
        <v>2</v>
      </c>
      <c r="J14" s="34">
        <f>Tableau14[[#This Row],[Quantité article à commander]]*Tableau14[[#This Row],[Quantité pièces/article]]*Tableau14[[#This Row],[Coût/unité article]]</f>
        <v>0.434</v>
      </c>
    </row>
    <row r="15" spans="1:17" x14ac:dyDescent="0.25">
      <c r="D15" s="5" t="str">
        <f>'BOM Unité'!A17</f>
        <v>DMC2400UV</v>
      </c>
      <c r="E15" s="5">
        <f>'BOM Unité'!B17</f>
        <v>1</v>
      </c>
      <c r="F15" s="2">
        <f>'BOM Unité'!C17</f>
        <v>0.182</v>
      </c>
      <c r="G15" s="2">
        <f>'BOM Unité'!D17</f>
        <v>5</v>
      </c>
      <c r="H15" s="36">
        <f>$B$1*Tableau14[[#This Row],[Quantité]]</f>
        <v>2</v>
      </c>
      <c r="I15" s="36">
        <f>ROUNDUP(Tableau14[[#This Row],[Quantité pièces production]]/Tableau14[[#This Row],[Quantité pièces/article]],0)</f>
        <v>1</v>
      </c>
      <c r="J15" s="34">
        <f>Tableau14[[#This Row],[Quantité article à commander]]*Tableau14[[#This Row],[Quantité pièces/article]]*Tableau14[[#This Row],[Coût/unité article]]</f>
        <v>0.90999999999999992</v>
      </c>
    </row>
    <row r="16" spans="1:17" x14ac:dyDescent="0.25">
      <c r="D16" s="5" t="str">
        <f>'BOM Unité'!A18</f>
        <v>FSR</v>
      </c>
      <c r="E16" s="5">
        <f>'BOM Unité'!B18</f>
        <v>1</v>
      </c>
      <c r="F16" s="2">
        <f>'BOM Unité'!C18</f>
        <v>5.05</v>
      </c>
      <c r="G16" s="2">
        <f>'BOM Unité'!D18</f>
        <v>1</v>
      </c>
      <c r="H16" s="36">
        <f>$B$1*Tableau14[[#This Row],[Quantité]]</f>
        <v>2</v>
      </c>
      <c r="I16" s="36">
        <f>ROUNDUP(Tableau14[[#This Row],[Quantité pièces production]]/Tableau14[[#This Row],[Quantité pièces/article]],0)</f>
        <v>2</v>
      </c>
      <c r="J16" s="34">
        <f>Tableau14[[#This Row],[Quantité article à commander]]*Tableau14[[#This Row],[Quantité pièces/article]]*Tableau14[[#This Row],[Coût/unité article]]</f>
        <v>10.1</v>
      </c>
    </row>
    <row r="17" spans="4:10" x14ac:dyDescent="0.25">
      <c r="D17" s="5" t="str">
        <f>'BOM Unité'!A11</f>
        <v>Câble multiconducteurs</v>
      </c>
      <c r="E17" s="5">
        <f>'BOM Unité'!B11</f>
        <v>1</v>
      </c>
      <c r="F17" s="2">
        <f>'BOM Unité'!C11</f>
        <v>0.152</v>
      </c>
      <c r="G17" s="2">
        <f>'BOM Unité'!D11</f>
        <v>6</v>
      </c>
      <c r="H17" s="36">
        <f>$B$1*Tableau14[[#This Row],[Quantité]]</f>
        <v>2</v>
      </c>
      <c r="I17" s="36">
        <f>ROUNDUP(Tableau14[[#This Row],[Quantité pièces production]]/Tableau14[[#This Row],[Quantité pièces/article]],0)</f>
        <v>1</v>
      </c>
      <c r="J17" s="34">
        <f>Tableau14[[#This Row],[Quantité article à commander]]*Tableau14[[#This Row],[Quantité pièces/article]]*Tableau14[[#This Row],[Coût/unité article]]</f>
        <v>0.91199999999999992</v>
      </c>
    </row>
    <row r="18" spans="4:10" x14ac:dyDescent="0.25">
      <c r="D18" s="5" t="str">
        <f>'BOM Unité'!A19</f>
        <v>Gaine Thr</v>
      </c>
      <c r="E18" s="5">
        <f>'BOM Unité'!B19</f>
        <v>1</v>
      </c>
      <c r="F18" s="2">
        <f>'BOM Unité'!C19</f>
        <v>0.17599999999999999</v>
      </c>
      <c r="G18" s="2">
        <f>'BOM Unité'!D19</f>
        <v>143</v>
      </c>
      <c r="H18" s="36">
        <f>$B$1*Tableau14[[#This Row],[Quantité]]</f>
        <v>2</v>
      </c>
      <c r="I18" s="36">
        <f>ROUNDUP(Tableau14[[#This Row],[Quantité pièces production]]/Tableau14[[#This Row],[Quantité pièces/article]],0)</f>
        <v>1</v>
      </c>
      <c r="J18" s="34">
        <f>Tableau14[[#This Row],[Quantité article à commander]]*Tableau14[[#This Row],[Quantité pièces/article]]*Tableau14[[#This Row],[Coût/unité article]]</f>
        <v>25.167999999999999</v>
      </c>
    </row>
    <row r="19" spans="4:10" x14ac:dyDescent="0.25">
      <c r="D19" s="5" t="str">
        <f>'BOM Unité'!A16</f>
        <v>Contact PicoBlade</v>
      </c>
      <c r="E19" s="5">
        <f>'BOM Unité'!B16</f>
        <v>3</v>
      </c>
      <c r="F19" s="2">
        <f>'BOM Unité'!C16</f>
        <v>2.63E-2</v>
      </c>
      <c r="G19" s="2">
        <f>'BOM Unité'!D16</f>
        <v>10</v>
      </c>
      <c r="H19" s="36">
        <f>$B$1*Tableau14[[#This Row],[Quantité]]</f>
        <v>6</v>
      </c>
      <c r="I19" s="36">
        <f>ROUNDUP(Tableau14[[#This Row],[Quantité pièces production]]/Tableau14[[#This Row],[Quantité pièces/article]],0)</f>
        <v>1</v>
      </c>
      <c r="J19" s="34">
        <f>Tableau14[[#This Row],[Quantité article à commander]]*Tableau14[[#This Row],[Quantité pièces/article]]*Tableau14[[#This Row],[Coût/unité article]]</f>
        <v>0.26300000000000001</v>
      </c>
    </row>
    <row r="20" spans="4:10" x14ac:dyDescent="0.25">
      <c r="D20" s="5" t="str">
        <f>'BOM Unité'!A20</f>
        <v>JS102011SAQN</v>
      </c>
      <c r="E20" s="5">
        <f>'BOM Unité'!B20</f>
        <v>1</v>
      </c>
      <c r="F20" s="2">
        <f>'BOM Unité'!C20</f>
        <v>0.442</v>
      </c>
      <c r="G20" s="2">
        <f>'BOM Unité'!D20</f>
        <v>1</v>
      </c>
      <c r="H20" s="36">
        <f>$B$1*Tableau14[[#This Row],[Quantité]]</f>
        <v>2</v>
      </c>
      <c r="I20" s="36">
        <f>ROUNDUP(Tableau14[[#This Row],[Quantité pièces production]]/Tableau14[[#This Row],[Quantité pièces/article]],0)</f>
        <v>2</v>
      </c>
      <c r="J20" s="34">
        <f>Tableau14[[#This Row],[Quantité article à commander]]*Tableau14[[#This Row],[Quantité pièces/article]]*Tableau14[[#This Row],[Coût/unité article]]</f>
        <v>0.88400000000000001</v>
      </c>
    </row>
    <row r="21" spans="4:10" x14ac:dyDescent="0.25">
      <c r="D21" s="5" t="str">
        <f>'BOM Unité'!A21</f>
        <v>kit boitiers I.Materialise</v>
      </c>
      <c r="E21" s="5">
        <f>'BOM Unité'!B21</f>
        <v>1</v>
      </c>
      <c r="F21" s="2">
        <f>'BOM Unité'!C21</f>
        <v>24.99</v>
      </c>
      <c r="G21" s="2">
        <f>'BOM Unité'!D21</f>
        <v>1</v>
      </c>
      <c r="H21" s="36">
        <f>$B$1*Tableau14[[#This Row],[Quantité]]</f>
        <v>2</v>
      </c>
      <c r="I21" s="36">
        <f>ROUNDUP(Tableau14[[#This Row],[Quantité pièces production]]/Tableau14[[#This Row],[Quantité pièces/article]],0)</f>
        <v>2</v>
      </c>
      <c r="J21" s="34">
        <f>Tableau14[[#This Row],[Quantité article à commander]]*Tableau14[[#This Row],[Quantité pièces/article]]*Tableau14[[#This Row],[Coût/unité article]]</f>
        <v>49.98</v>
      </c>
    </row>
    <row r="22" spans="4:10" x14ac:dyDescent="0.25">
      <c r="D22" s="5" t="str">
        <f>'BOM Unité'!A22</f>
        <v>LED lens</v>
      </c>
      <c r="E22" s="5">
        <f>'BOM Unité'!B22</f>
        <v>2</v>
      </c>
      <c r="F22" s="2">
        <f>'BOM Unité'!C22</f>
        <v>0.115</v>
      </c>
      <c r="G22" s="2">
        <f>'BOM Unité'!D22</f>
        <v>5</v>
      </c>
      <c r="H22" s="36">
        <f>$B$1*Tableau14[[#This Row],[Quantité]]</f>
        <v>4</v>
      </c>
      <c r="I22" s="36">
        <f>ROUNDUP(Tableau14[[#This Row],[Quantité pièces production]]/Tableau14[[#This Row],[Quantité pièces/article]],0)</f>
        <v>1</v>
      </c>
      <c r="J22" s="34">
        <f>Tableau14[[#This Row],[Quantité article à commander]]*Tableau14[[#This Row],[Quantité pièces/article]]*Tableau14[[#This Row],[Coût/unité article]]</f>
        <v>0.57500000000000007</v>
      </c>
    </row>
    <row r="23" spans="4:10" x14ac:dyDescent="0.25">
      <c r="D23" s="5" t="str">
        <f>'BOM Unité'!A25</f>
        <v>Li-Ion</v>
      </c>
      <c r="E23" s="5">
        <f>'BOM Unité'!B25</f>
        <v>1</v>
      </c>
      <c r="F23" s="2">
        <f>'BOM Unité'!C25</f>
        <v>15.14</v>
      </c>
      <c r="G23" s="2">
        <f>'BOM Unité'!D25</f>
        <v>1</v>
      </c>
      <c r="H23" s="36">
        <f>$B$1*Tableau14[[#This Row],[Quantité]]</f>
        <v>2</v>
      </c>
      <c r="I23" s="36">
        <f>ROUNDUP(Tableau14[[#This Row],[Quantité pièces production]]/Tableau14[[#This Row],[Quantité pièces/article]],0)</f>
        <v>2</v>
      </c>
      <c r="J23" s="34">
        <f>Tableau14[[#This Row],[Quantité article à commander]]*Tableau14[[#This Row],[Quantité pièces/article]]*Tableau14[[#This Row],[Coût/unité article]]</f>
        <v>30.28</v>
      </c>
    </row>
    <row r="24" spans="4:10" x14ac:dyDescent="0.25">
      <c r="D24" s="5" t="str">
        <f>'BOM Unité'!A26</f>
        <v>LP2951-3.3_SOIC</v>
      </c>
      <c r="E24" s="5">
        <f>'BOM Unité'!B26</f>
        <v>1</v>
      </c>
      <c r="F24" s="2">
        <f>'BOM Unité'!C26</f>
        <v>0.621</v>
      </c>
      <c r="G24" s="2">
        <f>'BOM Unité'!D26</f>
        <v>1</v>
      </c>
      <c r="H24" s="36">
        <f>$B$1*Tableau14[[#This Row],[Quantité]]</f>
        <v>2</v>
      </c>
      <c r="I24" s="36">
        <f>ROUNDUP(Tableau14[[#This Row],[Quantité pièces production]]/Tableau14[[#This Row],[Quantité pièces/article]],0)</f>
        <v>2</v>
      </c>
      <c r="J24" s="34">
        <f>Tableau14[[#This Row],[Quantité article à commander]]*Tableau14[[#This Row],[Quantité pièces/article]]*Tableau14[[#This Row],[Coût/unité article]]</f>
        <v>1.242</v>
      </c>
    </row>
    <row r="25" spans="4:10" x14ac:dyDescent="0.25">
      <c r="D25" s="5" t="str">
        <f>'BOM Unité'!A27</f>
        <v>MCP4461-103E/ML</v>
      </c>
      <c r="E25" s="5">
        <f>'BOM Unité'!B27</f>
        <v>1</v>
      </c>
      <c r="F25" s="2">
        <f>'BOM Unité'!C27</f>
        <v>1.69</v>
      </c>
      <c r="G25" s="2">
        <f>'BOM Unité'!D27</f>
        <v>1</v>
      </c>
      <c r="H25" s="36">
        <f>$B$1*Tableau14[[#This Row],[Quantité]]</f>
        <v>2</v>
      </c>
      <c r="I25" s="36">
        <f>ROUNDUP(Tableau14[[#This Row],[Quantité pièces production]]/Tableau14[[#This Row],[Quantité pièces/article]],0)</f>
        <v>2</v>
      </c>
      <c r="J25" s="34">
        <f>Tableau14[[#This Row],[Quantité article à commander]]*Tableau14[[#This Row],[Quantité pièces/article]]*Tableau14[[#This Row],[Coût/unité article]]</f>
        <v>3.38</v>
      </c>
    </row>
    <row r="26" spans="4:10" x14ac:dyDescent="0.25">
      <c r="D26" s="5" t="str">
        <f>'BOM Unité'!A29</f>
        <v>MCP73831T-2ACI/OT</v>
      </c>
      <c r="E26" s="5">
        <f>'BOM Unité'!B29</f>
        <v>1</v>
      </c>
      <c r="F26" s="2">
        <f>'BOM Unité'!C29</f>
        <v>0.51900000000000002</v>
      </c>
      <c r="G26" s="2">
        <f>'BOM Unité'!D29</f>
        <v>1</v>
      </c>
      <c r="H26" s="36">
        <f>$B$1*Tableau14[[#This Row],[Quantité]]</f>
        <v>2</v>
      </c>
      <c r="I26" s="36">
        <f>ROUNDUP(Tableau14[[#This Row],[Quantité pièces production]]/Tableau14[[#This Row],[Quantité pièces/article]],0)</f>
        <v>2</v>
      </c>
      <c r="J26" s="34">
        <f>Tableau14[[#This Row],[Quantité article à commander]]*Tableau14[[#This Row],[Quantité pièces/article]]*Tableau14[[#This Row],[Coût/unité article]]</f>
        <v>1.038</v>
      </c>
    </row>
    <row r="27" spans="4:10" x14ac:dyDescent="0.25">
      <c r="D27" s="5" t="str">
        <f>'BOM Unité'!A23</f>
        <v>LED_RG</v>
      </c>
      <c r="E27" s="5">
        <f>'BOM Unité'!B23</f>
        <v>1</v>
      </c>
      <c r="F27" s="2">
        <f>'BOM Unité'!C23</f>
        <v>0.25600000000000001</v>
      </c>
      <c r="G27" s="2">
        <f>'BOM Unité'!D23</f>
        <v>5</v>
      </c>
      <c r="H27" s="36">
        <f>$B$1*Tableau14[[#This Row],[Quantité]]</f>
        <v>2</v>
      </c>
      <c r="I27" s="36">
        <f>ROUNDUP(Tableau14[[#This Row],[Quantité pièces production]]/Tableau14[[#This Row],[Quantité pièces/article]],0)</f>
        <v>1</v>
      </c>
      <c r="J27" s="34">
        <f>Tableau14[[#This Row],[Quantité article à commander]]*Tableau14[[#This Row],[Quantité pièces/article]]*Tableau14[[#This Row],[Coût/unité article]]</f>
        <v>1.28</v>
      </c>
    </row>
    <row r="28" spans="4:10" x14ac:dyDescent="0.25">
      <c r="D28" s="5" t="str">
        <f>'BOM Unité'!A24</f>
        <v>LED_White</v>
      </c>
      <c r="E28" s="5">
        <f>'BOM Unité'!B24</f>
        <v>1</v>
      </c>
      <c r="F28" s="2">
        <f>'BOM Unité'!C24</f>
        <v>0.95699999999999996</v>
      </c>
      <c r="G28" s="2">
        <f>'BOM Unité'!D24</f>
        <v>1</v>
      </c>
      <c r="H28" s="36">
        <f>$B$1*Tableau14[[#This Row],[Quantité]]</f>
        <v>2</v>
      </c>
      <c r="I28" s="36">
        <f>ROUNDUP(Tableau14[[#This Row],[Quantité pièces production]]/Tableau14[[#This Row],[Quantité pièces/article]],0)</f>
        <v>2</v>
      </c>
      <c r="J28" s="34">
        <f>Tableau14[[#This Row],[Quantité article à commander]]*Tableau14[[#This Row],[Quantité pièces/article]]*Tableau14[[#This Row],[Coût/unité article]]</f>
        <v>1.9139999999999999</v>
      </c>
    </row>
    <row r="29" spans="4:10" x14ac:dyDescent="0.25">
      <c r="D29" s="5" t="str">
        <f>'BOM Unité'!A28</f>
        <v>MCP6541T-I_OT</v>
      </c>
      <c r="E29" s="5">
        <f>'BOM Unité'!B28</f>
        <v>1</v>
      </c>
      <c r="F29" s="2">
        <f>'BOM Unité'!C28</f>
        <v>0.33400000000000002</v>
      </c>
      <c r="G29" s="2">
        <f>'BOM Unité'!D28</f>
        <v>1</v>
      </c>
      <c r="H29" s="36">
        <f>$B$1*Tableau14[[#This Row],[Quantité]]</f>
        <v>2</v>
      </c>
      <c r="I29" s="36">
        <f>ROUNDUP(Tableau14[[#This Row],[Quantité pièces production]]/Tableau14[[#This Row],[Quantité pièces/article]],0)</f>
        <v>2</v>
      </c>
      <c r="J29" s="34">
        <f>Tableau14[[#This Row],[Quantité article à commander]]*Tableau14[[#This Row],[Quantité pièces/article]]*Tableau14[[#This Row],[Coût/unité article]]</f>
        <v>0.66800000000000004</v>
      </c>
    </row>
    <row r="30" spans="4:10" x14ac:dyDescent="0.25">
      <c r="D30" s="5" t="str">
        <f>'BOM Unité'!A32</f>
        <v>PS000122</v>
      </c>
      <c r="E30" s="5">
        <f>'BOM Unité'!B32</f>
        <v>1</v>
      </c>
      <c r="F30" s="2">
        <f>'BOM Unité'!C32</f>
        <v>1.66</v>
      </c>
      <c r="G30" s="2">
        <f>'BOM Unité'!D32</f>
        <v>1</v>
      </c>
      <c r="H30" s="36">
        <f>$B$1*Tableau14[[#This Row],[Quantité]]</f>
        <v>2</v>
      </c>
      <c r="I30" s="36">
        <f>ROUNDUP(Tableau14[[#This Row],[Quantité pièces production]]/Tableau14[[#This Row],[Quantité pièces/article]],0)</f>
        <v>2</v>
      </c>
      <c r="J30" s="34">
        <f>Tableau14[[#This Row],[Quantité article à commander]]*Tableau14[[#This Row],[Quantité pièces/article]]*Tableau14[[#This Row],[Coût/unité article]]</f>
        <v>3.32</v>
      </c>
    </row>
    <row r="31" spans="4:10" x14ac:dyDescent="0.25">
      <c r="D31" s="5" t="str">
        <f>'BOM Unité'!A30</f>
        <v>MMSD4148T1G</v>
      </c>
      <c r="E31" s="5">
        <f>'BOM Unité'!B30</f>
        <v>2</v>
      </c>
      <c r="F31" s="2">
        <f>'BOM Unité'!C30</f>
        <v>0.125</v>
      </c>
      <c r="G31" s="2">
        <f>'BOM Unité'!D30</f>
        <v>1</v>
      </c>
      <c r="H31" s="36">
        <f>$B$1*Tableau14[[#This Row],[Quantité]]</f>
        <v>4</v>
      </c>
      <c r="I31" s="36">
        <f>ROUNDUP(Tableau14[[#This Row],[Quantité pièces production]]/Tableau14[[#This Row],[Quantité pièces/article]],0)</f>
        <v>4</v>
      </c>
      <c r="J31" s="34">
        <f>Tableau14[[#This Row],[Quantité article à commander]]*Tableau14[[#This Row],[Quantité pièces/article]]*Tableau14[[#This Row],[Coût/unité article]]</f>
        <v>0.5</v>
      </c>
    </row>
    <row r="32" spans="4:10" x14ac:dyDescent="0.25">
      <c r="D32" s="5" t="str">
        <f>'BOM Unité'!A34</f>
        <v>Res 10Kr 0603</v>
      </c>
      <c r="E32" s="5">
        <f>'BOM Unité'!B34</f>
        <v>12</v>
      </c>
      <c r="F32" s="2">
        <f>'BOM Unité'!C34</f>
        <v>4.4000000000000003E-3</v>
      </c>
      <c r="G32" s="2">
        <f>'BOM Unité'!D34</f>
        <v>10</v>
      </c>
      <c r="H32" s="36">
        <f>$B$1*Tableau14[[#This Row],[Quantité]]</f>
        <v>24</v>
      </c>
      <c r="I32" s="36">
        <f>ROUNDUP(Tableau14[[#This Row],[Quantité pièces production]]/Tableau14[[#This Row],[Quantité pièces/article]],0)</f>
        <v>3</v>
      </c>
      <c r="J32" s="34">
        <f>Tableau14[[#This Row],[Quantité article à commander]]*Tableau14[[#This Row],[Quantité pièces/article]]*Tableau14[[#This Row],[Coût/unité article]]</f>
        <v>0.13200000000000001</v>
      </c>
    </row>
    <row r="33" spans="4:10" x14ac:dyDescent="0.25">
      <c r="D33" s="5" t="str">
        <f>'BOM Unité'!A33</f>
        <v>Res 1.5Mr 0603</v>
      </c>
      <c r="E33" s="5">
        <f>'BOM Unité'!B33</f>
        <v>1</v>
      </c>
      <c r="F33" s="2">
        <f>'BOM Unité'!C33</f>
        <v>2.6499999999999999E-2</v>
      </c>
      <c r="G33" s="2">
        <f>'BOM Unité'!D33</f>
        <v>10</v>
      </c>
      <c r="H33" s="36">
        <f>$B$1*Tableau14[[#This Row],[Quantité]]</f>
        <v>2</v>
      </c>
      <c r="I33" s="36">
        <f>ROUNDUP(Tableau14[[#This Row],[Quantité pièces production]]/Tableau14[[#This Row],[Quantité pièces/article]],0)</f>
        <v>1</v>
      </c>
      <c r="J33" s="34">
        <f>Tableau14[[#This Row],[Quantité article à commander]]*Tableau14[[#This Row],[Quantité pièces/article]]*Tableau14[[#This Row],[Coût/unité article]]</f>
        <v>0.26500000000000001</v>
      </c>
    </row>
    <row r="34" spans="4:10" x14ac:dyDescent="0.25">
      <c r="D34" s="5" t="str">
        <f>'BOM Unité'!A31</f>
        <v>pcb JLCPCB</v>
      </c>
      <c r="E34" s="5">
        <f>'BOM Unité'!B31</f>
        <v>1</v>
      </c>
      <c r="F34" s="2">
        <f>'BOM Unité'!C31</f>
        <v>1.8</v>
      </c>
      <c r="G34" s="2">
        <f>'BOM Unité'!D31</f>
        <v>5</v>
      </c>
      <c r="H34" s="36">
        <f>$B$1*Tableau14[[#This Row],[Quantité]]</f>
        <v>2</v>
      </c>
      <c r="I34" s="36">
        <f>ROUNDUP(Tableau14[[#This Row],[Quantité pièces production]]/Tableau14[[#This Row],[Quantité pièces/article]],0)</f>
        <v>1</v>
      </c>
      <c r="J34" s="34">
        <f>Tableau14[[#This Row],[Quantité article à commander]]*Tableau14[[#This Row],[Quantité pièces/article]]*Tableau14[[#This Row],[Coût/unité article]]</f>
        <v>9</v>
      </c>
    </row>
    <row r="35" spans="4:10" x14ac:dyDescent="0.25">
      <c r="D35" s="5" t="str">
        <f>'BOM Unité'!A35</f>
        <v>Res 180Kr 0603</v>
      </c>
      <c r="E35" s="5">
        <f>'BOM Unité'!B35</f>
        <v>1</v>
      </c>
      <c r="F35" s="2">
        <f>'BOM Unité'!C35</f>
        <v>2.52E-2</v>
      </c>
      <c r="G35" s="2">
        <f>'BOM Unité'!D35</f>
        <v>10</v>
      </c>
      <c r="H35" s="36">
        <f>$B$1*Tableau14[[#This Row],[Quantité]]</f>
        <v>2</v>
      </c>
      <c r="I35" s="36">
        <f>ROUNDUP(Tableau14[[#This Row],[Quantité pièces production]]/Tableau14[[#This Row],[Quantité pièces/article]],0)</f>
        <v>1</v>
      </c>
      <c r="J35" s="34">
        <f>Tableau14[[#This Row],[Quantité article à commander]]*Tableau14[[#This Row],[Quantité pièces/article]]*Tableau14[[#This Row],[Coût/unité article]]</f>
        <v>0.252</v>
      </c>
    </row>
    <row r="36" spans="4:10" x14ac:dyDescent="0.25">
      <c r="D36" s="5" t="str">
        <f>'BOM Unité'!A37</f>
        <v>Res 220r  0603</v>
      </c>
      <c r="E36" s="5">
        <f>'BOM Unité'!B37</f>
        <v>3</v>
      </c>
      <c r="F36" s="2">
        <f>'BOM Unité'!C37</f>
        <v>4.8999999999999998E-3</v>
      </c>
      <c r="G36" s="2">
        <f>'BOM Unité'!D37</f>
        <v>10</v>
      </c>
      <c r="H36" s="36">
        <f>$B$1*Tableau14[[#This Row],[Quantité]]</f>
        <v>6</v>
      </c>
      <c r="I36" s="37">
        <f>ROUNDUP(Tableau14[[#This Row],[Quantité pièces production]]/Tableau14[[#This Row],[Quantité pièces/article]],0)</f>
        <v>1</v>
      </c>
      <c r="J36" s="35">
        <f>Tableau14[[#This Row],[Quantité article à commander]]*Tableau14[[#This Row],[Quantité pièces/article]]*Tableau14[[#This Row],[Coût/unité article]]</f>
        <v>4.9000000000000002E-2</v>
      </c>
    </row>
  </sheetData>
  <mergeCells count="5">
    <mergeCell ref="M3:M4"/>
    <mergeCell ref="L3:L4"/>
    <mergeCell ref="N2:Q2"/>
    <mergeCell ref="D1:J1"/>
    <mergeCell ref="L1:Q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G29" sqref="G29"/>
    </sheetView>
  </sheetViews>
  <sheetFormatPr baseColWidth="10" defaultRowHeight="15" x14ac:dyDescent="0.25"/>
  <cols>
    <col min="1" max="1" width="25" bestFit="1" customWidth="1"/>
    <col min="3" max="3" width="18.85546875" customWidth="1"/>
    <col min="4" max="4" width="23.5703125" customWidth="1"/>
    <col min="5" max="5" width="16" customWidth="1"/>
    <col min="6" max="6" width="13.5703125" customWidth="1"/>
    <col min="7" max="7" width="17.42578125" customWidth="1"/>
    <col min="8" max="8" width="16.5703125" bestFit="1" customWidth="1"/>
    <col min="9" max="9" width="14.7109375" customWidth="1"/>
    <col min="11" max="11" width="12" bestFit="1" customWidth="1"/>
  </cols>
  <sheetData>
    <row r="1" spans="1:13" ht="23.25" x14ac:dyDescent="0.35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1"/>
    </row>
    <row r="2" spans="1:13" ht="15.75" x14ac:dyDescent="0.25">
      <c r="A2" s="6" t="s">
        <v>0</v>
      </c>
      <c r="B2" s="6" t="s">
        <v>1</v>
      </c>
      <c r="C2" s="6" t="s">
        <v>25</v>
      </c>
      <c r="D2" s="6" t="s">
        <v>26</v>
      </c>
      <c r="E2" s="6" t="s">
        <v>2</v>
      </c>
      <c r="F2" s="6" t="s">
        <v>4</v>
      </c>
      <c r="G2" s="6" t="s">
        <v>3</v>
      </c>
      <c r="H2" s="6" t="s">
        <v>5</v>
      </c>
      <c r="I2" s="6" t="s">
        <v>100</v>
      </c>
      <c r="J2" s="12" t="s">
        <v>61</v>
      </c>
      <c r="K2" s="41">
        <f>SUM(K3:K14)</f>
        <v>78.779799999999994</v>
      </c>
      <c r="L2" s="41"/>
      <c r="M2" s="41"/>
    </row>
    <row r="3" spans="1:13" x14ac:dyDescent="0.25">
      <c r="A3" s="5" t="s">
        <v>77</v>
      </c>
      <c r="B3" s="5">
        <v>1</v>
      </c>
      <c r="C3" s="2">
        <v>0.66900000000000004</v>
      </c>
      <c r="D3" s="2">
        <v>10</v>
      </c>
      <c r="E3" s="2">
        <f t="shared" ref="E3:E37" si="0">B3*C3</f>
        <v>0.66900000000000004</v>
      </c>
      <c r="F3" s="2" t="s">
        <v>9</v>
      </c>
      <c r="G3" s="3" t="s">
        <v>129</v>
      </c>
      <c r="H3" s="2" t="s">
        <v>57</v>
      </c>
      <c r="I3" s="33" t="s">
        <v>103</v>
      </c>
      <c r="J3" s="42" t="s">
        <v>6</v>
      </c>
      <c r="K3" s="41">
        <f>SUM(M3:M5)</f>
        <v>45.863800000000005</v>
      </c>
      <c r="L3" s="11" t="s">
        <v>7</v>
      </c>
      <c r="M3" s="11">
        <f>SUMIF(Tableau1[Catégorie],"CMP-R-COMMON",Tableau1[Coût/unité article])</f>
        <v>15.270900000000001</v>
      </c>
    </row>
    <row r="4" spans="1:13" x14ac:dyDescent="0.25">
      <c r="A4" s="5" t="s">
        <v>28</v>
      </c>
      <c r="B4" s="5">
        <v>1</v>
      </c>
      <c r="C4" s="5">
        <v>0.27100000000000002</v>
      </c>
      <c r="D4" s="2">
        <v>1</v>
      </c>
      <c r="E4" s="2">
        <f t="shared" si="0"/>
        <v>0.27100000000000002</v>
      </c>
      <c r="F4" s="2" t="s">
        <v>9</v>
      </c>
      <c r="G4" s="3" t="s">
        <v>16</v>
      </c>
      <c r="H4" s="2" t="s">
        <v>56</v>
      </c>
      <c r="I4" s="33" t="s">
        <v>103</v>
      </c>
      <c r="J4" s="42"/>
      <c r="K4" s="41"/>
      <c r="L4" s="11" t="s">
        <v>36</v>
      </c>
      <c r="M4" s="11">
        <f>SUMIF(Tableau1[Catégorie],"CMP-G-COMMON",Tableau1[Coût/unité article])</f>
        <v>29.888500000000001</v>
      </c>
    </row>
    <row r="5" spans="1:13" x14ac:dyDescent="0.25">
      <c r="A5" s="2" t="s">
        <v>24</v>
      </c>
      <c r="B5" s="2">
        <v>1</v>
      </c>
      <c r="C5" s="2">
        <v>1.05</v>
      </c>
      <c r="D5" s="2">
        <v>1</v>
      </c>
      <c r="E5" s="2">
        <f t="shared" si="0"/>
        <v>1.05</v>
      </c>
      <c r="F5" s="2" t="s">
        <v>9</v>
      </c>
      <c r="G5" s="3" t="s">
        <v>11</v>
      </c>
      <c r="H5" s="2" t="s">
        <v>56</v>
      </c>
      <c r="I5" s="2" t="s">
        <v>101</v>
      </c>
      <c r="J5" s="42"/>
      <c r="K5" s="41"/>
      <c r="L5" s="11" t="s">
        <v>44</v>
      </c>
      <c r="M5" s="11">
        <f>SUMIF(Tableau1[Catégorie],"CMP-COMMON",Tableau1[Coût/unité article])</f>
        <v>0.70439999999999992</v>
      </c>
    </row>
    <row r="6" spans="1:13" x14ac:dyDescent="0.25">
      <c r="A6" s="5" t="s">
        <v>27</v>
      </c>
      <c r="B6" s="5">
        <v>3</v>
      </c>
      <c r="C6" s="5">
        <v>0.58199999999999996</v>
      </c>
      <c r="D6" s="2">
        <v>1</v>
      </c>
      <c r="E6" s="2">
        <f t="shared" si="0"/>
        <v>1.746</v>
      </c>
      <c r="F6" s="2" t="s">
        <v>9</v>
      </c>
      <c r="G6" s="3" t="s">
        <v>15</v>
      </c>
      <c r="H6" s="2" t="s">
        <v>56</v>
      </c>
      <c r="I6" s="2" t="s">
        <v>103</v>
      </c>
      <c r="J6" s="42" t="s">
        <v>43</v>
      </c>
      <c r="K6" s="41">
        <f>SUM(M6:M8)</f>
        <v>1.8</v>
      </c>
      <c r="L6" s="11" t="s">
        <v>7</v>
      </c>
      <c r="M6" s="11">
        <f>SUMIF(Tableau1[Catégorie],"PCB-R-COMMON",Tableau1[Coût/unité article])</f>
        <v>0</v>
      </c>
    </row>
    <row r="7" spans="1:13" x14ac:dyDescent="0.25">
      <c r="A7" s="5" t="s">
        <v>86</v>
      </c>
      <c r="B7" s="2">
        <v>1</v>
      </c>
      <c r="C7" s="2">
        <f>VLOOKUP(Tableau1[[#This Row],[Designation]],multiref_BL651[#All],2,FALSE)</f>
        <v>6</v>
      </c>
      <c r="D7" s="2">
        <f>VLOOKUP(Tableau1[[#This Row],[Designation]],multiref_BL651[#All],3,FALSE)</f>
        <v>1</v>
      </c>
      <c r="E7" s="2">
        <f t="shared" si="0"/>
        <v>6</v>
      </c>
      <c r="F7" s="2" t="str">
        <f>VLOOKUP(Tableau1[[#This Row],[Designation]],multiref_BL651[#All],4,FALSE)</f>
        <v>farnell</v>
      </c>
      <c r="G7" s="4" t="str">
        <f>VLOOKUP(Tableau1[[#This Row],[Designation]],multiref_BL651[#All],5,FALSE)</f>
        <v>https://fr.farnell.com/laird/453-00005c/bl651-series-bt-v5-module-int/dp/3020333?ost=453-00005&amp;ddkey=https%3Afr-FR%2FElement14_France%2Fsearch</v>
      </c>
      <c r="H7" s="2" t="s">
        <v>57</v>
      </c>
      <c r="I7" s="33" t="s">
        <v>103</v>
      </c>
      <c r="J7" s="42"/>
      <c r="K7" s="41"/>
      <c r="L7" s="11" t="s">
        <v>36</v>
      </c>
      <c r="M7" s="11">
        <f>SUMIF(Tableau1[Catégorie],"PCB-G-COMMON",Tableau1[Coût/unité article])</f>
        <v>0</v>
      </c>
    </row>
    <row r="8" spans="1:13" x14ac:dyDescent="0.25">
      <c r="A8" s="2" t="s">
        <v>93</v>
      </c>
      <c r="B8" s="5">
        <v>1</v>
      </c>
      <c r="C8" s="2">
        <f>VLOOKUP(Tableau1[[#This Row],[Designation]],multiref_BL6517[#All],2,FALSE)</f>
        <v>7</v>
      </c>
      <c r="D8" s="2">
        <f>VLOOKUP(Tableau1[[#This Row],[Designation]],multiref_BL6517[#All],3,FALSE)</f>
        <v>1</v>
      </c>
      <c r="E8" s="2">
        <f t="shared" si="0"/>
        <v>7</v>
      </c>
      <c r="F8" s="2" t="str">
        <f>VLOOKUP(Tableau1[[#This Row],[Designation]],multiref_BL6517[#All],4,FALSE)</f>
        <v>mouser</v>
      </c>
      <c r="G8" s="3" t="str">
        <f>VLOOKUP(Tableau1[[#This Row],[Designation]],multiref_BL6517[#All],5,FALSE)</f>
        <v>https://www.mouser.fr/ProductDetail/Laird-Connectivity/BL652-SA-01?qs=sGAEpiMZZMtQRtO1VXT3j3wMFQ951d4Cq%252B4orKf%252BrSA%3D</v>
      </c>
      <c r="H8" s="2" t="s">
        <v>56</v>
      </c>
      <c r="I8" s="33" t="s">
        <v>103</v>
      </c>
      <c r="J8" s="42"/>
      <c r="K8" s="41"/>
      <c r="L8" s="11" t="s">
        <v>44</v>
      </c>
      <c r="M8" s="11">
        <f>SUMIF(Tableau1[Catégorie],"PCB-COMMON",Tableau1[Coût/unité article])</f>
        <v>1.8</v>
      </c>
    </row>
    <row r="9" spans="1:13" x14ac:dyDescent="0.25">
      <c r="A9" s="2" t="s">
        <v>8</v>
      </c>
      <c r="B9" s="2">
        <v>1</v>
      </c>
      <c r="C9" s="2">
        <v>2.16</v>
      </c>
      <c r="D9" s="2">
        <v>1</v>
      </c>
      <c r="E9" s="2">
        <f t="shared" si="0"/>
        <v>2.16</v>
      </c>
      <c r="F9" s="2" t="s">
        <v>9</v>
      </c>
      <c r="G9" s="3" t="s">
        <v>10</v>
      </c>
      <c r="H9" s="2" t="s">
        <v>56</v>
      </c>
      <c r="I9" s="2" t="s">
        <v>103</v>
      </c>
      <c r="J9" s="42" t="s">
        <v>45</v>
      </c>
      <c r="K9" s="41">
        <f>SUM(M9:M11)</f>
        <v>31.116</v>
      </c>
      <c r="L9" s="11" t="s">
        <v>7</v>
      </c>
      <c r="M9" s="11">
        <f>SUMIF(Tableau1[Catégorie],"BTR-R-COMMON",Tableau1[Coût/unité article])</f>
        <v>0</v>
      </c>
    </row>
    <row r="10" spans="1:13" x14ac:dyDescent="0.25">
      <c r="A10" s="5" t="s">
        <v>70</v>
      </c>
      <c r="B10" s="5">
        <v>1</v>
      </c>
      <c r="C10" s="2">
        <v>6.9999999999999999E-4</v>
      </c>
      <c r="D10" s="2">
        <v>500</v>
      </c>
      <c r="E10" s="2">
        <f t="shared" si="0"/>
        <v>6.9999999999999999E-4</v>
      </c>
      <c r="F10" s="2" t="s">
        <v>9</v>
      </c>
      <c r="G10" s="3" t="s">
        <v>69</v>
      </c>
      <c r="H10" s="2" t="s">
        <v>57</v>
      </c>
      <c r="I10" s="2" t="s">
        <v>80</v>
      </c>
      <c r="J10" s="42"/>
      <c r="K10" s="41"/>
      <c r="L10" s="11" t="s">
        <v>36</v>
      </c>
      <c r="M10" s="11">
        <f>SUMIF(Tableau1[Catégorie],"BTR-G-COMMON",Tableau1[Coût/unité article])</f>
        <v>6.1260000000000003</v>
      </c>
    </row>
    <row r="11" spans="1:13" x14ac:dyDescent="0.25">
      <c r="A11" s="5" t="s">
        <v>67</v>
      </c>
      <c r="B11" s="5">
        <v>1</v>
      </c>
      <c r="C11" s="2">
        <v>0.152</v>
      </c>
      <c r="D11" s="2">
        <v>6</v>
      </c>
      <c r="E11" s="2">
        <f t="shared" si="0"/>
        <v>0.152</v>
      </c>
      <c r="F11" s="2" t="s">
        <v>9</v>
      </c>
      <c r="G11" s="3" t="s">
        <v>68</v>
      </c>
      <c r="H11" s="2" t="s">
        <v>56</v>
      </c>
      <c r="I11" s="2" t="s">
        <v>80</v>
      </c>
      <c r="J11" s="42"/>
      <c r="K11" s="41"/>
      <c r="L11" s="11" t="s">
        <v>44</v>
      </c>
      <c r="M11" s="11">
        <f>SUMIF(Tableau1[Catégorie],"BTR-COMMON",Tableau1[Coût/unité article])</f>
        <v>24.99</v>
      </c>
    </row>
    <row r="12" spans="1:13" x14ac:dyDescent="0.25">
      <c r="A12" s="5" t="s">
        <v>64</v>
      </c>
      <c r="B12" s="5">
        <v>2</v>
      </c>
      <c r="C12" s="2">
        <v>0.13500000000000001</v>
      </c>
      <c r="D12" s="2">
        <v>10</v>
      </c>
      <c r="E12" s="2">
        <f t="shared" si="0"/>
        <v>0.27</v>
      </c>
      <c r="F12" s="2" t="s">
        <v>9</v>
      </c>
      <c r="G12" s="3" t="s">
        <v>123</v>
      </c>
      <c r="H12" s="2" t="s">
        <v>66</v>
      </c>
      <c r="I12" s="2" t="s">
        <v>103</v>
      </c>
      <c r="J12" s="11"/>
      <c r="K12" s="41"/>
      <c r="L12" s="41"/>
      <c r="M12" s="41"/>
    </row>
    <row r="13" spans="1:13" x14ac:dyDescent="0.25">
      <c r="A13" s="5" t="s">
        <v>65</v>
      </c>
      <c r="B13" s="5">
        <v>2</v>
      </c>
      <c r="C13" s="2">
        <v>0.44</v>
      </c>
      <c r="D13" s="2">
        <v>5</v>
      </c>
      <c r="E13" s="2">
        <f t="shared" si="0"/>
        <v>0.88</v>
      </c>
      <c r="F13" s="2" t="s">
        <v>9</v>
      </c>
      <c r="G13" s="3" t="s">
        <v>21</v>
      </c>
      <c r="H13" s="2" t="s">
        <v>66</v>
      </c>
      <c r="I13" s="2" t="s">
        <v>103</v>
      </c>
      <c r="J13" s="11"/>
      <c r="K13" s="41"/>
      <c r="L13" s="41"/>
      <c r="M13" s="41"/>
    </row>
    <row r="14" spans="1:13" x14ac:dyDescent="0.25">
      <c r="A14" s="5" t="s">
        <v>131</v>
      </c>
      <c r="B14" s="5">
        <v>1</v>
      </c>
      <c r="C14" s="2">
        <v>5.95</v>
      </c>
      <c r="D14" s="2">
        <v>2</v>
      </c>
      <c r="E14" s="2">
        <f t="shared" si="0"/>
        <v>5.95</v>
      </c>
      <c r="F14" s="2" t="s">
        <v>96</v>
      </c>
      <c r="G14" s="3" t="s">
        <v>97</v>
      </c>
      <c r="H14" s="2" t="s">
        <v>60</v>
      </c>
      <c r="I14" s="2" t="s">
        <v>80</v>
      </c>
    </row>
    <row r="15" spans="1:13" x14ac:dyDescent="0.25">
      <c r="A15" s="5" t="s">
        <v>48</v>
      </c>
      <c r="B15" s="5">
        <v>1</v>
      </c>
      <c r="C15" s="2">
        <v>0.217</v>
      </c>
      <c r="D15" s="2">
        <v>1</v>
      </c>
      <c r="E15" s="2">
        <f t="shared" si="0"/>
        <v>0.217</v>
      </c>
      <c r="F15" s="2" t="s">
        <v>9</v>
      </c>
      <c r="G15" s="3" t="s">
        <v>49</v>
      </c>
      <c r="H15" s="2" t="s">
        <v>57</v>
      </c>
      <c r="I15" s="2" t="s">
        <v>80</v>
      </c>
      <c r="J15" t="s">
        <v>105</v>
      </c>
    </row>
    <row r="16" spans="1:13" x14ac:dyDescent="0.25">
      <c r="A16" s="5" t="s">
        <v>51</v>
      </c>
      <c r="B16" s="5">
        <v>3</v>
      </c>
      <c r="C16" s="2">
        <v>2.63E-2</v>
      </c>
      <c r="D16" s="2">
        <v>10</v>
      </c>
      <c r="E16" s="2">
        <f t="shared" si="0"/>
        <v>7.8899999999999998E-2</v>
      </c>
      <c r="F16" s="2" t="s">
        <v>9</v>
      </c>
      <c r="G16" s="3" t="s">
        <v>50</v>
      </c>
      <c r="H16" s="2" t="s">
        <v>57</v>
      </c>
      <c r="I16" s="2" t="s">
        <v>80</v>
      </c>
      <c r="J16" t="s">
        <v>106</v>
      </c>
      <c r="K16">
        <f>COUNTIF(Tableau1[PCBA],"Y-SMD")</f>
        <v>21</v>
      </c>
      <c r="L16">
        <f>SUMIF(Tableau1[PCBA],"Y-SMD",Tableau1[Quantité])</f>
        <v>39</v>
      </c>
    </row>
    <row r="17" spans="1:13" x14ac:dyDescent="0.25">
      <c r="A17" s="5" t="s">
        <v>71</v>
      </c>
      <c r="B17" s="5">
        <v>1</v>
      </c>
      <c r="C17" s="2">
        <v>0.182</v>
      </c>
      <c r="D17" s="2">
        <v>5</v>
      </c>
      <c r="E17" s="2">
        <f t="shared" si="0"/>
        <v>0.182</v>
      </c>
      <c r="F17" s="2" t="s">
        <v>9</v>
      </c>
      <c r="G17" s="3" t="s">
        <v>126</v>
      </c>
      <c r="H17" s="2" t="s">
        <v>57</v>
      </c>
      <c r="I17" s="2" t="s">
        <v>103</v>
      </c>
      <c r="J17" t="s">
        <v>107</v>
      </c>
      <c r="K17">
        <f>COUNTIF(Tableau1[PCBA],"Y-ThuHole")</f>
        <v>1</v>
      </c>
      <c r="L17">
        <f>SUMIF(Tableau1[PCBA],"Y-ThuHole",Tableau1[Quantité])</f>
        <v>1</v>
      </c>
    </row>
    <row r="18" spans="1:13" x14ac:dyDescent="0.25">
      <c r="A18" s="2" t="s">
        <v>40</v>
      </c>
      <c r="B18" s="5">
        <v>1</v>
      </c>
      <c r="C18" s="2">
        <v>5.05</v>
      </c>
      <c r="D18" s="2">
        <v>1</v>
      </c>
      <c r="E18" s="2">
        <f t="shared" si="0"/>
        <v>5.05</v>
      </c>
      <c r="F18" s="2" t="s">
        <v>9</v>
      </c>
      <c r="G18" s="3" t="s">
        <v>13</v>
      </c>
      <c r="H18" s="2" t="s">
        <v>57</v>
      </c>
      <c r="I18" s="2" t="s">
        <v>80</v>
      </c>
    </row>
    <row r="19" spans="1:13" x14ac:dyDescent="0.25">
      <c r="A19" s="5" t="s">
        <v>52</v>
      </c>
      <c r="B19" s="5">
        <v>1</v>
      </c>
      <c r="C19" s="2">
        <v>0.17599999999999999</v>
      </c>
      <c r="D19" s="2">
        <v>143</v>
      </c>
      <c r="E19" s="2">
        <f t="shared" si="0"/>
        <v>0.17599999999999999</v>
      </c>
      <c r="F19" s="2" t="s">
        <v>9</v>
      </c>
      <c r="G19" s="3" t="s">
        <v>53</v>
      </c>
      <c r="H19" s="2" t="s">
        <v>60</v>
      </c>
      <c r="I19" s="2" t="s">
        <v>80</v>
      </c>
      <c r="M19" s="24"/>
    </row>
    <row r="20" spans="1:13" x14ac:dyDescent="0.25">
      <c r="A20" s="5" t="s">
        <v>29</v>
      </c>
      <c r="B20" s="5">
        <v>1</v>
      </c>
      <c r="C20" s="5">
        <v>0.442</v>
      </c>
      <c r="D20" s="2">
        <v>1</v>
      </c>
      <c r="E20" s="2">
        <f t="shared" si="0"/>
        <v>0.442</v>
      </c>
      <c r="F20" s="2" t="s">
        <v>9</v>
      </c>
      <c r="G20" s="3" t="s">
        <v>17</v>
      </c>
      <c r="H20" s="2" t="s">
        <v>56</v>
      </c>
      <c r="I20" s="2" t="s">
        <v>103</v>
      </c>
      <c r="M20" s="24"/>
    </row>
    <row r="21" spans="1:13" x14ac:dyDescent="0.25">
      <c r="A21" s="5" t="s">
        <v>113</v>
      </c>
      <c r="B21" s="5">
        <v>1</v>
      </c>
      <c r="C21" s="2">
        <f>VLOOKUP(Tableau1[[#This Row],[Designation]],multiref_boitiers[#All],2,FALSE)</f>
        <v>24.99</v>
      </c>
      <c r="D21" s="2">
        <f>VLOOKUP(Tableau1[[#This Row],[Designation]],multiref_boitiers[#All],3,FALSE)</f>
        <v>1</v>
      </c>
      <c r="E21" s="2">
        <f t="shared" si="0"/>
        <v>24.99</v>
      </c>
      <c r="F21" s="2" t="str">
        <f>VLOOKUP(Tableau1[[#This Row],[Designation]],multiref_boitiers[#All],4,FALSE)</f>
        <v>I.Materialise</v>
      </c>
      <c r="G21" s="3"/>
      <c r="H21" s="2" t="s">
        <v>59</v>
      </c>
      <c r="I21" s="2" t="s">
        <v>80</v>
      </c>
      <c r="M21" s="22"/>
    </row>
    <row r="22" spans="1:13" x14ac:dyDescent="0.25">
      <c r="A22" s="5" t="s">
        <v>35</v>
      </c>
      <c r="B22" s="5">
        <v>2</v>
      </c>
      <c r="C22" s="2">
        <v>0.115</v>
      </c>
      <c r="D22" s="2">
        <v>5</v>
      </c>
      <c r="E22" s="2">
        <f t="shared" si="0"/>
        <v>0.23</v>
      </c>
      <c r="F22" s="2" t="s">
        <v>9</v>
      </c>
      <c r="G22" s="3" t="s">
        <v>23</v>
      </c>
      <c r="H22" s="2" t="s">
        <v>56</v>
      </c>
      <c r="I22" s="2" t="s">
        <v>80</v>
      </c>
      <c r="M22" s="24"/>
    </row>
    <row r="23" spans="1:13" x14ac:dyDescent="0.25">
      <c r="A23" s="5" t="s">
        <v>33</v>
      </c>
      <c r="B23" s="5">
        <v>1</v>
      </c>
      <c r="C23" s="2">
        <v>0.25600000000000001</v>
      </c>
      <c r="D23" s="2">
        <v>5</v>
      </c>
      <c r="E23" s="2">
        <f t="shared" si="0"/>
        <v>0.25600000000000001</v>
      </c>
      <c r="F23" s="2" t="s">
        <v>9</v>
      </c>
      <c r="G23" s="3" t="s">
        <v>55</v>
      </c>
      <c r="H23" s="2" t="s">
        <v>56</v>
      </c>
      <c r="I23" s="2" t="s">
        <v>103</v>
      </c>
      <c r="M23" s="24"/>
    </row>
    <row r="24" spans="1:13" x14ac:dyDescent="0.25">
      <c r="A24" s="5" t="s">
        <v>32</v>
      </c>
      <c r="B24" s="5">
        <v>1</v>
      </c>
      <c r="C24" s="2">
        <v>0.95699999999999996</v>
      </c>
      <c r="D24" s="2">
        <v>1</v>
      </c>
      <c r="E24" s="2">
        <f t="shared" si="0"/>
        <v>0.95699999999999996</v>
      </c>
      <c r="F24" s="2" t="s">
        <v>9</v>
      </c>
      <c r="G24" s="3" t="s">
        <v>20</v>
      </c>
      <c r="H24" s="2" t="s">
        <v>56</v>
      </c>
      <c r="I24" s="2" t="s">
        <v>103</v>
      </c>
      <c r="M24" s="24"/>
    </row>
    <row r="25" spans="1:13" x14ac:dyDescent="0.25">
      <c r="A25" s="5" t="s">
        <v>42</v>
      </c>
      <c r="B25" s="5">
        <v>1</v>
      </c>
      <c r="C25" s="2">
        <v>15.14</v>
      </c>
      <c r="D25" s="2">
        <v>1</v>
      </c>
      <c r="E25" s="2">
        <f t="shared" si="0"/>
        <v>15.14</v>
      </c>
      <c r="F25" s="2" t="s">
        <v>9</v>
      </c>
      <c r="G25" s="3" t="s">
        <v>41</v>
      </c>
      <c r="H25" s="2" t="s">
        <v>57</v>
      </c>
      <c r="I25" s="2" t="s">
        <v>80</v>
      </c>
      <c r="M25" s="24"/>
    </row>
    <row r="26" spans="1:13" x14ac:dyDescent="0.25">
      <c r="A26" s="5" t="s">
        <v>31</v>
      </c>
      <c r="B26" s="5">
        <v>1</v>
      </c>
      <c r="C26" s="5">
        <v>0.621</v>
      </c>
      <c r="D26" s="2">
        <v>1</v>
      </c>
      <c r="E26" s="2">
        <f t="shared" si="0"/>
        <v>0.621</v>
      </c>
      <c r="F26" s="2" t="s">
        <v>9</v>
      </c>
      <c r="G26" s="13" t="s">
        <v>19</v>
      </c>
      <c r="H26" s="2" t="s">
        <v>56</v>
      </c>
      <c r="I26" s="2" t="s">
        <v>104</v>
      </c>
      <c r="M26" s="24"/>
    </row>
    <row r="27" spans="1:13" x14ac:dyDescent="0.25">
      <c r="A27" s="2" t="s">
        <v>127</v>
      </c>
      <c r="B27" s="5">
        <v>1</v>
      </c>
      <c r="C27" s="2">
        <v>1.69</v>
      </c>
      <c r="D27" s="2">
        <v>1</v>
      </c>
      <c r="E27" s="2">
        <f t="shared" si="0"/>
        <v>1.69</v>
      </c>
      <c r="F27" s="2" t="s">
        <v>9</v>
      </c>
      <c r="G27" s="13" t="s">
        <v>128</v>
      </c>
      <c r="H27" s="2" t="s">
        <v>57</v>
      </c>
      <c r="I27" s="2" t="s">
        <v>103</v>
      </c>
    </row>
    <row r="28" spans="1:13" x14ac:dyDescent="0.25">
      <c r="A28" s="5" t="s">
        <v>37</v>
      </c>
      <c r="B28" s="5">
        <v>1</v>
      </c>
      <c r="C28" s="2">
        <v>0.33400000000000002</v>
      </c>
      <c r="D28" s="2">
        <v>1</v>
      </c>
      <c r="E28" s="2">
        <f t="shared" si="0"/>
        <v>0.33400000000000002</v>
      </c>
      <c r="F28" s="2" t="s">
        <v>9</v>
      </c>
      <c r="G28" s="3" t="s">
        <v>38</v>
      </c>
      <c r="H28" s="2" t="s">
        <v>57</v>
      </c>
      <c r="I28" s="2" t="s">
        <v>103</v>
      </c>
    </row>
    <row r="29" spans="1:13" x14ac:dyDescent="0.25">
      <c r="A29" s="5" t="s">
        <v>124</v>
      </c>
      <c r="B29" s="5">
        <v>1</v>
      </c>
      <c r="C29" s="2">
        <v>0.51900000000000002</v>
      </c>
      <c r="D29" s="2">
        <v>1</v>
      </c>
      <c r="E29" s="2">
        <f t="shared" si="0"/>
        <v>0.51900000000000002</v>
      </c>
      <c r="F29" s="2" t="s">
        <v>9</v>
      </c>
      <c r="G29" s="3" t="s">
        <v>125</v>
      </c>
      <c r="H29" s="2" t="s">
        <v>57</v>
      </c>
      <c r="I29" s="2" t="s">
        <v>103</v>
      </c>
    </row>
    <row r="30" spans="1:13" x14ac:dyDescent="0.25">
      <c r="A30" s="7" t="s">
        <v>30</v>
      </c>
      <c r="B30" s="7">
        <v>2</v>
      </c>
      <c r="C30" s="7">
        <v>0.125</v>
      </c>
      <c r="D30" s="8">
        <v>1</v>
      </c>
      <c r="E30" s="2">
        <f t="shared" si="0"/>
        <v>0.25</v>
      </c>
      <c r="F30" s="2" t="s">
        <v>9</v>
      </c>
      <c r="G30" s="13" t="s">
        <v>18</v>
      </c>
      <c r="H30" s="2" t="s">
        <v>66</v>
      </c>
      <c r="I30" s="2" t="s">
        <v>103</v>
      </c>
    </row>
    <row r="31" spans="1:13" x14ac:dyDescent="0.25">
      <c r="A31" s="5" t="s">
        <v>99</v>
      </c>
      <c r="B31" s="5">
        <v>1</v>
      </c>
      <c r="C31" s="2">
        <f>VLOOKUP(Tableau1[[#This Row],[Designation]],multiref_pcb[#All],2,FALSE)</f>
        <v>1.8</v>
      </c>
      <c r="D31" s="2">
        <f>VLOOKUP(Tableau1[[#This Row],[Designation]],multiref_pcb[#All],3,FALSE)</f>
        <v>5</v>
      </c>
      <c r="E31" s="2">
        <f t="shared" si="0"/>
        <v>1.8</v>
      </c>
      <c r="F31" s="2" t="str">
        <f>VLOOKUP(Tableau1[[#This Row],[Designation]],multiref_pcb[#All],4,FALSE)</f>
        <v>JLCPCB</v>
      </c>
      <c r="G31" s="13" t="str">
        <f>VLOOKUP(Tableau1[[#This Row],[Designation]],multiref_pcb[#All],5,FALSE)</f>
        <v>/</v>
      </c>
      <c r="H31" s="2" t="s">
        <v>58</v>
      </c>
      <c r="I31" s="2" t="s">
        <v>80</v>
      </c>
    </row>
    <row r="32" spans="1:13" x14ac:dyDescent="0.25">
      <c r="A32" s="5" t="s">
        <v>34</v>
      </c>
      <c r="B32" s="5">
        <v>1</v>
      </c>
      <c r="C32" s="2">
        <v>1.66</v>
      </c>
      <c r="D32" s="2">
        <v>1</v>
      </c>
      <c r="E32" s="2">
        <f t="shared" si="0"/>
        <v>1.66</v>
      </c>
      <c r="F32" s="2" t="s">
        <v>9</v>
      </c>
      <c r="G32" s="3" t="s">
        <v>22</v>
      </c>
      <c r="H32" s="2" t="s">
        <v>56</v>
      </c>
      <c r="I32" s="2" t="s">
        <v>80</v>
      </c>
    </row>
    <row r="33" spans="1:9" x14ac:dyDescent="0.25">
      <c r="A33" s="5" t="s">
        <v>74</v>
      </c>
      <c r="B33" s="5">
        <v>1</v>
      </c>
      <c r="C33" s="2">
        <v>2.6499999999999999E-2</v>
      </c>
      <c r="D33" s="2">
        <v>10</v>
      </c>
      <c r="E33" s="2">
        <f t="shared" si="0"/>
        <v>2.6499999999999999E-2</v>
      </c>
      <c r="F33" s="2" t="s">
        <v>9</v>
      </c>
      <c r="G33" s="3" t="s">
        <v>75</v>
      </c>
      <c r="H33" s="2" t="s">
        <v>57</v>
      </c>
      <c r="I33" s="2" t="s">
        <v>103</v>
      </c>
    </row>
    <row r="34" spans="1:9" x14ac:dyDescent="0.25">
      <c r="A34" s="5" t="s">
        <v>62</v>
      </c>
      <c r="B34" s="5">
        <v>12</v>
      </c>
      <c r="C34" s="2">
        <v>4.4000000000000003E-3</v>
      </c>
      <c r="D34" s="2">
        <v>10</v>
      </c>
      <c r="E34" s="2">
        <f t="shared" si="0"/>
        <v>5.28E-2</v>
      </c>
      <c r="F34" s="2" t="s">
        <v>9</v>
      </c>
      <c r="G34" s="13" t="s">
        <v>13</v>
      </c>
      <c r="H34" s="2" t="s">
        <v>66</v>
      </c>
      <c r="I34" s="2" t="s">
        <v>103</v>
      </c>
    </row>
    <row r="35" spans="1:9" x14ac:dyDescent="0.25">
      <c r="A35" s="5" t="s">
        <v>76</v>
      </c>
      <c r="B35" s="5">
        <v>1</v>
      </c>
      <c r="C35" s="2">
        <v>2.52E-2</v>
      </c>
      <c r="D35" s="2">
        <v>10</v>
      </c>
      <c r="E35" s="2">
        <f t="shared" si="0"/>
        <v>2.52E-2</v>
      </c>
      <c r="F35" s="2" t="s">
        <v>9</v>
      </c>
      <c r="G35" s="3" t="s">
        <v>130</v>
      </c>
      <c r="H35" s="2" t="s">
        <v>57</v>
      </c>
      <c r="I35" s="2" t="s">
        <v>103</v>
      </c>
    </row>
    <row r="36" spans="1:9" x14ac:dyDescent="0.25">
      <c r="A36" s="5" t="s">
        <v>72</v>
      </c>
      <c r="B36" s="5">
        <v>1</v>
      </c>
      <c r="C36" s="2">
        <v>8.8000000000000005E-3</v>
      </c>
      <c r="D36" s="2">
        <v>10</v>
      </c>
      <c r="E36" s="2">
        <f t="shared" si="0"/>
        <v>8.8000000000000005E-3</v>
      </c>
      <c r="F36" s="2" t="s">
        <v>9</v>
      </c>
      <c r="G36" s="3" t="s">
        <v>73</v>
      </c>
      <c r="H36" s="2" t="s">
        <v>57</v>
      </c>
      <c r="I36" s="2" t="s">
        <v>103</v>
      </c>
    </row>
    <row r="37" spans="1:9" x14ac:dyDescent="0.25">
      <c r="A37" s="7" t="s">
        <v>63</v>
      </c>
      <c r="B37" s="7">
        <v>3</v>
      </c>
      <c r="C37" s="8">
        <v>4.8999999999999998E-3</v>
      </c>
      <c r="D37" s="8">
        <v>10</v>
      </c>
      <c r="E37" s="8">
        <f t="shared" si="0"/>
        <v>1.47E-2</v>
      </c>
      <c r="F37" s="8" t="s">
        <v>9</v>
      </c>
      <c r="G37" s="9" t="s">
        <v>14</v>
      </c>
      <c r="H37" s="8" t="s">
        <v>56</v>
      </c>
      <c r="I37" s="8" t="s">
        <v>103</v>
      </c>
    </row>
  </sheetData>
  <mergeCells count="10">
    <mergeCell ref="K12:M12"/>
    <mergeCell ref="K13:M13"/>
    <mergeCell ref="K2:M2"/>
    <mergeCell ref="A1:I1"/>
    <mergeCell ref="J3:J5"/>
    <mergeCell ref="K3:K5"/>
    <mergeCell ref="J6:J8"/>
    <mergeCell ref="K6:K8"/>
    <mergeCell ref="J9:J11"/>
    <mergeCell ref="K9:K11"/>
  </mergeCells>
  <hyperlinks>
    <hyperlink ref="G9" r:id="rId1"/>
    <hyperlink ref="G5" r:id="rId2"/>
    <hyperlink ref="G7" r:id="rId3" display="https://fr.farnell.com/laird-technologies/bl652-sa-01/module-ble-nfc-2-402-2-48ghz-96dbm/dp/2664536?st=BL652"/>
    <hyperlink ref="G6" r:id="rId4"/>
    <hyperlink ref="G4" r:id="rId5"/>
    <hyperlink ref="G20" r:id="rId6"/>
    <hyperlink ref="G26" r:id="rId7"/>
    <hyperlink ref="G30" r:id="rId8"/>
    <hyperlink ref="G32" r:id="rId9"/>
    <hyperlink ref="G22" r:id="rId10"/>
    <hyperlink ref="G37" r:id="rId11"/>
    <hyperlink ref="G13" r:id="rId12"/>
    <hyperlink ref="G28" r:id="rId13"/>
    <hyperlink ref="G27" display="https://fr.farnell.com/microchip/mcp4461-103e-ml/ic-dgtl-pot-257taps-10k-20qfn/dp/1863948?scope=partnumberlookahead&amp;ost=MCP4461-103E%2FML&amp;searchref=searchlookahead&amp;exaMfpn=true&amp;ddkey=https%3Afr-FR%2FElement14_France%2Fw%2Fsearch20qfn/dp/1863948?scope=part"/>
    <hyperlink ref="G8" r:id="rId14" display="https://fr.farnell.com/laird/453-00005c/bl651-series-bt-v5-module-int/dp/3020333?ost=453-00005&amp;ddkey=https%3Afr-FR%2FElement14_France%2Fsearch"/>
    <hyperlink ref="G18" r:id="rId15"/>
    <hyperlink ref="G34" r:id="rId16"/>
    <hyperlink ref="G12" r:id="rId17"/>
    <hyperlink ref="G15" r:id="rId18"/>
    <hyperlink ref="G16" r:id="rId19"/>
    <hyperlink ref="G19" r:id="rId20"/>
    <hyperlink ref="G24" r:id="rId21"/>
    <hyperlink ref="G23" r:id="rId22"/>
    <hyperlink ref="G11" r:id="rId23"/>
    <hyperlink ref="G10" r:id="rId24"/>
    <hyperlink ref="G17" r:id="rId25"/>
    <hyperlink ref="G36" r:id="rId26"/>
    <hyperlink ref="G33" r:id="rId27"/>
    <hyperlink ref="G35" r:id="rId28"/>
    <hyperlink ref="G3" display="https://fr.farnell.com/amphenol-icc-fci/10104110-0001lf/embase-micro-usb-2-0-type-b-cms/dp/2293753?ost=10104110-0001LF&amp;ddkey=https%3Afr-FR%2FElement14_France%2Fsearchcms/dp/2293753?gclid=Cj0KCQjwhZr1BRCLARIsALjRVQNMZRWnJBi_RvgRIjVLN9kmwKWSTHElPq7TDtiuyfpy"/>
    <hyperlink ref="G25" r:id="rId29"/>
    <hyperlink ref="G14" r:id="rId30"/>
    <hyperlink ref="G29" r:id="rId31"/>
  </hyperlinks>
  <pageMargins left="0.7" right="0.7" top="0.75" bottom="0.75" header="0.3" footer="0.3"/>
  <pageSetup orientation="portrait" r:id="rId32"/>
  <tableParts count="1">
    <tablePart r:id="rId3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'BOM Multiref'!$A$2:$A$40</xm:f>
          </x14:formula1>
          <xm:sqref>F1 F38:F1048576</xm:sqref>
        </x14:dataValidation>
        <x14:dataValidation type="list" allowBlank="1" showInputMessage="1" showErrorMessage="1">
          <x14:formula1>
            <xm:f>'BOM Multiref'!$D$3:$D$5</xm:f>
          </x14:formula1>
          <xm:sqref>M21</xm:sqref>
        </x14:dataValidation>
        <x14:dataValidation type="list" allowBlank="1" showInputMessage="1" showErrorMessage="1">
          <x14:formula1>
            <xm:f>'BOM Multiref'!$D$3:$D$6</xm:f>
          </x14:formula1>
          <xm:sqref>A3</xm:sqref>
        </x14:dataValidation>
        <x14:dataValidation type="list" allowBlank="1" showInputMessage="1" showErrorMessage="1">
          <x14:formula1>
            <xm:f>'BOM Multiref'!$D$10:$D$11</xm:f>
          </x14:formula1>
          <xm:sqref>A5</xm:sqref>
        </x14:dataValidation>
        <x14:dataValidation type="list" allowBlank="1" showInputMessage="1" showErrorMessage="1">
          <x14:formula1>
            <xm:f>'BOM Multiref'!$D$15:$D$16</xm:f>
          </x14:formula1>
          <xm:sqref>A6</xm:sqref>
        </x14:dataValidation>
        <x14:dataValidation type="list" allowBlank="1" showInputMessage="1" showErrorMessage="1">
          <x14:formula1>
            <xm:f>'BOM Multiref'!$J$3</xm:f>
          </x14:formula1>
          <xm:sqref>A29</xm:sqref>
        </x14:dataValidation>
        <x14:dataValidation type="list" allowBlank="1" showInputMessage="1" showErrorMessage="1">
          <x14:formula1>
            <xm:f>'BOM Multiref'!$B$2:$B$5</xm:f>
          </x14:formula1>
          <xm:sqref>I3:I37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G5" sqref="G5"/>
    </sheetView>
  </sheetViews>
  <sheetFormatPr baseColWidth="10" defaultRowHeight="15" x14ac:dyDescent="0.25"/>
  <cols>
    <col min="1" max="1" width="16.7109375" bestFit="1" customWidth="1"/>
    <col min="2" max="2" width="16.7109375" customWidth="1"/>
    <col min="3" max="3" width="5.28515625" customWidth="1"/>
    <col min="4" max="4" width="25" bestFit="1" customWidth="1"/>
    <col min="5" max="5" width="18.85546875" customWidth="1"/>
    <col min="6" max="6" width="23.5703125" customWidth="1"/>
    <col min="7" max="7" width="13.5703125" customWidth="1"/>
    <col min="8" max="8" width="17.42578125" customWidth="1"/>
    <col min="10" max="10" width="17.85546875" customWidth="1"/>
    <col min="11" max="11" width="18.85546875" customWidth="1"/>
    <col min="12" max="12" width="23.5703125" customWidth="1"/>
    <col min="13" max="13" width="13.5703125" customWidth="1"/>
    <col min="14" max="14" width="17.42578125" customWidth="1"/>
  </cols>
  <sheetData>
    <row r="1" spans="1:16" ht="15.75" x14ac:dyDescent="0.25">
      <c r="A1" t="s">
        <v>78</v>
      </c>
      <c r="B1" t="s">
        <v>102</v>
      </c>
      <c r="D1" s="43" t="s">
        <v>84</v>
      </c>
      <c r="E1" s="43"/>
      <c r="F1" s="43"/>
      <c r="G1" s="43"/>
      <c r="H1" s="43"/>
      <c r="J1" s="42" t="s">
        <v>98</v>
      </c>
      <c r="K1" s="42"/>
      <c r="L1" s="42"/>
      <c r="M1" s="42"/>
      <c r="N1" s="42"/>
    </row>
    <row r="2" spans="1:16" x14ac:dyDescent="0.25">
      <c r="A2" t="s">
        <v>9</v>
      </c>
      <c r="B2" t="s">
        <v>80</v>
      </c>
      <c r="D2" s="15" t="s">
        <v>83</v>
      </c>
      <c r="E2" s="16" t="s">
        <v>25</v>
      </c>
      <c r="F2" s="16" t="s">
        <v>26</v>
      </c>
      <c r="G2" s="16" t="s">
        <v>4</v>
      </c>
      <c r="H2" s="17" t="s">
        <v>3</v>
      </c>
      <c r="I2" s="24"/>
      <c r="J2" s="30" t="s">
        <v>83</v>
      </c>
      <c r="K2" s="16" t="s">
        <v>25</v>
      </c>
      <c r="L2" s="16" t="s">
        <v>26</v>
      </c>
      <c r="M2" s="16" t="s">
        <v>4</v>
      </c>
      <c r="N2" s="17" t="s">
        <v>3</v>
      </c>
    </row>
    <row r="3" spans="1:16" x14ac:dyDescent="0.25">
      <c r="A3" t="s">
        <v>47</v>
      </c>
      <c r="B3" t="s">
        <v>101</v>
      </c>
      <c r="D3" s="18" t="s">
        <v>81</v>
      </c>
      <c r="E3" s="14">
        <v>51.07</v>
      </c>
      <c r="F3" s="14">
        <v>1</v>
      </c>
      <c r="G3" s="14" t="s">
        <v>47</v>
      </c>
      <c r="H3" s="19" t="s">
        <v>80</v>
      </c>
      <c r="I3" s="24"/>
      <c r="J3" s="31" t="s">
        <v>99</v>
      </c>
      <c r="K3" s="32">
        <v>1.8</v>
      </c>
      <c r="L3" s="32">
        <v>5</v>
      </c>
      <c r="M3" s="32" t="s">
        <v>46</v>
      </c>
      <c r="N3" s="27" t="s">
        <v>80</v>
      </c>
      <c r="O3" s="28"/>
      <c r="P3" s="29"/>
    </row>
    <row r="4" spans="1:16" x14ac:dyDescent="0.25">
      <c r="A4" t="s">
        <v>46</v>
      </c>
      <c r="B4" t="s">
        <v>103</v>
      </c>
      <c r="D4" s="18" t="s">
        <v>113</v>
      </c>
      <c r="E4" s="10">
        <v>24.99</v>
      </c>
      <c r="F4" s="10">
        <v>1</v>
      </c>
      <c r="G4" s="10" t="s">
        <v>114</v>
      </c>
      <c r="H4" s="19" t="s">
        <v>80</v>
      </c>
      <c r="I4" s="24"/>
      <c r="J4" s="24"/>
      <c r="K4" s="22"/>
      <c r="L4" s="24"/>
    </row>
    <row r="5" spans="1:16" x14ac:dyDescent="0.25">
      <c r="A5" t="s">
        <v>79</v>
      </c>
      <c r="B5" t="s">
        <v>104</v>
      </c>
      <c r="D5" s="18" t="s">
        <v>80</v>
      </c>
      <c r="E5" s="20">
        <v>30</v>
      </c>
      <c r="F5" s="20">
        <v>1</v>
      </c>
      <c r="G5" s="20" t="s">
        <v>82</v>
      </c>
      <c r="H5" s="21"/>
      <c r="I5" s="24"/>
      <c r="J5" s="24"/>
      <c r="K5" s="24"/>
      <c r="L5" s="24"/>
    </row>
    <row r="6" spans="1:16" x14ac:dyDescent="0.25">
      <c r="D6" s="18" t="s">
        <v>80</v>
      </c>
      <c r="E6" s="20">
        <v>30</v>
      </c>
      <c r="F6" s="20">
        <v>1</v>
      </c>
      <c r="G6" s="20" t="s">
        <v>95</v>
      </c>
      <c r="H6" s="19" t="s">
        <v>80</v>
      </c>
      <c r="I6" s="24"/>
      <c r="J6" s="24"/>
      <c r="K6" s="24"/>
      <c r="L6" s="24"/>
    </row>
    <row r="7" spans="1:16" x14ac:dyDescent="0.25">
      <c r="D7" s="22"/>
      <c r="E7" s="23"/>
      <c r="F7" s="24"/>
      <c r="I7" s="24"/>
      <c r="J7" s="24"/>
      <c r="K7" s="24"/>
      <c r="L7" s="24"/>
    </row>
    <row r="8" spans="1:16" ht="15.75" x14ac:dyDescent="0.25">
      <c r="D8" s="43" t="s">
        <v>85</v>
      </c>
      <c r="E8" s="43"/>
      <c r="F8" s="43"/>
      <c r="G8" s="43"/>
      <c r="H8" s="43"/>
      <c r="I8" s="24"/>
      <c r="J8" s="24"/>
      <c r="K8" s="24"/>
      <c r="L8" s="24"/>
    </row>
    <row r="9" spans="1:16" x14ac:dyDescent="0.25">
      <c r="D9" s="15" t="s">
        <v>83</v>
      </c>
      <c r="E9" s="16" t="s">
        <v>25</v>
      </c>
      <c r="F9" s="16" t="s">
        <v>26</v>
      </c>
      <c r="G9" s="16" t="s">
        <v>4</v>
      </c>
      <c r="H9" s="17" t="s">
        <v>3</v>
      </c>
    </row>
    <row r="10" spans="1:16" x14ac:dyDescent="0.25">
      <c r="D10" s="18" t="s">
        <v>86</v>
      </c>
      <c r="E10" s="14">
        <v>6</v>
      </c>
      <c r="F10" s="14">
        <v>1</v>
      </c>
      <c r="G10" s="14" t="s">
        <v>88</v>
      </c>
      <c r="H10" s="25" t="s">
        <v>39</v>
      </c>
    </row>
    <row r="11" spans="1:16" x14ac:dyDescent="0.25">
      <c r="D11" s="18" t="s">
        <v>87</v>
      </c>
      <c r="E11" s="10">
        <v>4.76</v>
      </c>
      <c r="F11" s="10">
        <v>1</v>
      </c>
      <c r="G11" s="10" t="s">
        <v>89</v>
      </c>
      <c r="H11" s="26" t="s">
        <v>90</v>
      </c>
    </row>
    <row r="12" spans="1:16" x14ac:dyDescent="0.25">
      <c r="D12" s="22"/>
      <c r="E12" s="23"/>
      <c r="F12" s="24"/>
    </row>
    <row r="13" spans="1:16" ht="15.75" x14ac:dyDescent="0.25">
      <c r="D13" s="43" t="s">
        <v>91</v>
      </c>
      <c r="E13" s="43"/>
      <c r="F13" s="43"/>
      <c r="G13" s="43"/>
      <c r="H13" s="43"/>
    </row>
    <row r="14" spans="1:16" x14ac:dyDescent="0.25">
      <c r="D14" s="15" t="s">
        <v>83</v>
      </c>
      <c r="E14" s="16" t="s">
        <v>25</v>
      </c>
      <c r="F14" s="16" t="s">
        <v>26</v>
      </c>
      <c r="G14" s="16" t="s">
        <v>4</v>
      </c>
      <c r="H14" s="17" t="s">
        <v>3</v>
      </c>
    </row>
    <row r="15" spans="1:16" x14ac:dyDescent="0.25">
      <c r="D15" s="18" t="s">
        <v>92</v>
      </c>
      <c r="E15" s="14">
        <v>8.39</v>
      </c>
      <c r="F15" s="14">
        <v>1</v>
      </c>
      <c r="G15" s="14" t="s">
        <v>88</v>
      </c>
      <c r="H15" s="25" t="s">
        <v>12</v>
      </c>
    </row>
    <row r="16" spans="1:16" x14ac:dyDescent="0.25">
      <c r="D16" s="18" t="s">
        <v>93</v>
      </c>
      <c r="E16" s="10">
        <v>7</v>
      </c>
      <c r="F16" s="10">
        <v>1</v>
      </c>
      <c r="G16" s="10" t="s">
        <v>89</v>
      </c>
      <c r="H16" s="26" t="s">
        <v>94</v>
      </c>
    </row>
    <row r="17" spans="4:6" x14ac:dyDescent="0.25">
      <c r="D17" s="22"/>
      <c r="E17" s="23"/>
      <c r="F17" s="24"/>
    </row>
    <row r="18" spans="4:6" x14ac:dyDescent="0.25">
      <c r="D18" s="22"/>
      <c r="E18" s="23"/>
      <c r="F18" s="24"/>
    </row>
    <row r="19" spans="4:6" x14ac:dyDescent="0.25">
      <c r="D19" s="22"/>
      <c r="E19" s="23"/>
      <c r="F19" s="24"/>
    </row>
    <row r="20" spans="4:6" x14ac:dyDescent="0.25">
      <c r="D20" s="22"/>
      <c r="E20" s="23"/>
      <c r="F20" s="24"/>
    </row>
    <row r="21" spans="4:6" x14ac:dyDescent="0.25">
      <c r="D21" s="22"/>
      <c r="E21" s="23"/>
      <c r="F21" s="24"/>
    </row>
    <row r="22" spans="4:6" x14ac:dyDescent="0.25">
      <c r="D22" s="22"/>
      <c r="E22" s="23"/>
      <c r="F22" s="24"/>
    </row>
    <row r="23" spans="4:6" x14ac:dyDescent="0.25">
      <c r="D23" s="22"/>
      <c r="E23" s="23"/>
      <c r="F23" s="24"/>
    </row>
    <row r="24" spans="4:6" x14ac:dyDescent="0.25">
      <c r="D24" s="22"/>
      <c r="E24" s="23"/>
      <c r="F24" s="24"/>
    </row>
    <row r="25" spans="4:6" x14ac:dyDescent="0.25">
      <c r="D25" s="22"/>
      <c r="E25" s="23"/>
      <c r="F25" s="24"/>
    </row>
    <row r="26" spans="4:6" x14ac:dyDescent="0.25">
      <c r="D26" s="22"/>
      <c r="E26" s="23"/>
      <c r="F26" s="24"/>
    </row>
    <row r="27" spans="4:6" x14ac:dyDescent="0.25">
      <c r="D27" s="22"/>
      <c r="E27" s="23"/>
      <c r="F27" s="24"/>
    </row>
    <row r="28" spans="4:6" x14ac:dyDescent="0.25">
      <c r="D28" s="22"/>
      <c r="E28" s="23"/>
      <c r="F28" s="24"/>
    </row>
    <row r="29" spans="4:6" x14ac:dyDescent="0.25">
      <c r="D29" s="22"/>
      <c r="E29" s="23"/>
      <c r="F29" s="24"/>
    </row>
    <row r="30" spans="4:6" x14ac:dyDescent="0.25">
      <c r="D30" s="22"/>
      <c r="E30" s="23"/>
      <c r="F30" s="24"/>
    </row>
    <row r="31" spans="4:6" x14ac:dyDescent="0.25">
      <c r="D31" s="22"/>
      <c r="E31" s="23"/>
      <c r="F31" s="24"/>
    </row>
    <row r="32" spans="4:6" x14ac:dyDescent="0.25">
      <c r="D32" s="22"/>
      <c r="E32" s="23"/>
      <c r="F32" s="24"/>
    </row>
    <row r="33" spans="4:6" x14ac:dyDescent="0.25">
      <c r="D33" s="22"/>
      <c r="E33" s="23"/>
      <c r="F33" s="24"/>
    </row>
  </sheetData>
  <mergeCells count="4">
    <mergeCell ref="D1:H1"/>
    <mergeCell ref="D8:H8"/>
    <mergeCell ref="D13:H13"/>
    <mergeCell ref="J1:N1"/>
  </mergeCells>
  <hyperlinks>
    <hyperlink ref="H10" r:id="rId1"/>
    <hyperlink ref="H11" r:id="rId2"/>
    <hyperlink ref="H15" r:id="rId3"/>
    <hyperlink ref="H16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Guide de commande</vt:lpstr>
      <vt:lpstr>BOM Stock</vt:lpstr>
      <vt:lpstr>BOM Unité</vt:lpstr>
      <vt:lpstr>BOM Multiref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2020-04-24T07:15:41Z</dcterms:created>
  <dcterms:modified xsi:type="dcterms:W3CDTF">2020-05-15T23:22:02Z</dcterms:modified>
</cp:coreProperties>
</file>