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3"/>
    <sheet name="Constants" sheetId="2" state="visible" r:id="rId4"/>
    <sheet name="onshape" sheetId="3" state="visible" r:id="rId5"/>
  </sheets>
  <definedNames>
    <definedName function="false" hidden="false" name="AllSpecies" vbProcedure="false">All!$B$6:$N$247</definedName>
    <definedName function="false" hidden="false" name="BackFrequency" vbProcedure="false">Constants!$C$21</definedName>
    <definedName function="false" hidden="false" name="BodyLength" vbProcedure="false">Constants!$C$17</definedName>
    <definedName function="false" hidden="false" name="BodyWidth" vbProcedure="false">Constants!$C$18</definedName>
    <definedName function="false" hidden="false" name="EndTops" vbProcedure="false">Constants!$C$4</definedName>
    <definedName function="false" hidden="false" name="FcrossBacks" vbProcedure="false">Constants!$C$8</definedName>
    <definedName function="false" hidden="false" name="FcrossTops" vbProcedure="false">Constants!$C$6</definedName>
    <definedName function="false" hidden="false" name="FdiagBacks" vbProcedure="false">Constants!$C$9</definedName>
    <definedName function="false" hidden="false" name="FdiagTops" vbProcedure="false">Constants!$C$7</definedName>
    <definedName function="false" hidden="false" name="HearmonC1" vbProcedure="false">Constants!$C$24</definedName>
    <definedName function="false" hidden="false" name="HearmonC2" vbProcedure="false">Constants!$C$25</definedName>
    <definedName function="false" hidden="false" name="LS0_DouglasFir" vbProcedure="false">#REF!</definedName>
    <definedName function="false" hidden="false" name="LS_max" vbProcedure="false">Constants!$C$10</definedName>
    <definedName function="false" hidden="false" name="PlateLength" vbProcedure="false">Constants!$C$13</definedName>
    <definedName function="false" hidden="false" name="PlateThickness" vbProcedure="false">Constants!$C$15</definedName>
    <definedName function="false" hidden="false" name="PlateWidth" vbProcedure="false">Constants!$C$14</definedName>
    <definedName function="false" hidden="false" name="StartBacks" vbProcedure="false">Constants!$C$5</definedName>
    <definedName function="false" hidden="false" name="TopArea" vbProcedure="false">Constants!$C$19</definedName>
    <definedName function="false" hidden="false" name="TopFrequency" vbProcedure="false">Constants!$C$20</definedName>
    <definedName function="false" hidden="false" name="TopMass_Engelmann" vbProcedure="false">#REF!</definedName>
    <definedName function="false" hidden="false" name="VlrBack" vbProcedure="false">Constants!$C$63</definedName>
    <definedName function="false" hidden="false" name="VlrTop" vbProcedure="false">Constants!$C$43</definedName>
    <definedName function="false" hidden="false" name="VolumeOfChassis" vbProcedure="false">#REF!</definedName>
    <definedName function="false" hidden="false" name="VrlBack" vbProcedure="false">Constants!$D$63</definedName>
    <definedName function="false" hidden="false" name="VrlTop" vbProcedure="false">Constants!$D$43</definedName>
    <definedName function="false" hidden="false" name="V_chassi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<sst xmlns="http://schemas.openxmlformats.org/spreadsheetml/2006/main" count="1884" uniqueCount="1549">
  <si>
    <t xml:space="preserve">Material Name</t>
  </si>
  <si>
    <t xml:space="preserve">Property</t>
  </si>
  <si>
    <t xml:space="preserve">Softwood?</t>
  </si>
  <si>
    <t xml:space="preserve">Steam bendable</t>
  </si>
  <si>
    <t xml:space="preserve">Hardness</t>
  </si>
  <si>
    <t xml:space="preserve">Density</t>
  </si>
  <si>
    <t xml:space="preserve">flexural modulus</t>
  </si>
  <si>
    <t xml:space="preserve">Poisson’s Strain ratio</t>
  </si>
  <si>
    <t xml:space="preserve">Flexural Strength</t>
  </si>
  <si>
    <t xml:space="preserve">Compress Strength</t>
  </si>
  <si>
    <t xml:space="preserve">Rad. Shrink</t>
  </si>
  <si>
    <t xml:space="preserve">Tang. Shrink</t>
  </si>
  <si>
    <t xml:space="preserve">Shrink Volume</t>
  </si>
  <si>
    <t xml:space="preserve">Image</t>
  </si>
  <si>
    <t xml:space="preserve">Alternate names</t>
  </si>
  <si>
    <t xml:space="preserve">Tags</t>
  </si>
  <si>
    <t xml:space="preserve">Reference 1</t>
  </si>
  <si>
    <t xml:space="preserve">Reference 2</t>
  </si>
  <si>
    <t xml:space="preserve">UUID</t>
  </si>
  <si>
    <t xml:space="preserve">UUID2</t>
  </si>
  <si>
    <t xml:space="preserve">Notes</t>
  </si>
  <si>
    <t xml:space="preserve">Conifer?</t>
  </si>
  <si>
    <t xml:space="preserve">12% MC</t>
  </si>
  <si>
    <t xml:space="preserve">long.</t>
  </si>
  <si>
    <t xml:space="preserve">long-&gt;rad</t>
  </si>
  <si>
    <t xml:space="preserve">rad-&gt;long</t>
  </si>
  <si>
    <t xml:space="preserve">0% MC</t>
  </si>
  <si>
    <t xml:space="preserve">Do NOT edit!!!</t>
  </si>
  <si>
    <t xml:space="preserve">Units</t>
  </si>
  <si>
    <t xml:space="preserve">% pieces</t>
  </si>
  <si>
    <t xml:space="preserve">N</t>
  </si>
  <si>
    <t xml:space="preserve">kg/m³</t>
  </si>
  <si>
    <t xml:space="preserve">GPa</t>
  </si>
  <si>
    <t xml:space="preserve">MPa</t>
  </si>
  <si>
    <t xml:space="preserve">%</t>
  </si>
  <si>
    <t xml:space="preserve">Symbol</t>
  </si>
  <si>
    <t xml:space="preserve">soft</t>
  </si>
  <si>
    <t xml:space="preserve">bend</t>
  </si>
  <si>
    <t xml:space="preserve">J</t>
  </si>
  <si>
    <t xml:space="preserve">ρ12</t>
  </si>
  <si>
    <t xml:space="preserve">EL</t>
  </si>
  <si>
    <t xml:space="preserve">𝜈LR</t>
  </si>
  <si>
    <t xml:space="preserve">𝜈RL</t>
  </si>
  <si>
    <t xml:space="preserve">FL</t>
  </si>
  <si>
    <t xml:space="preserve">CL</t>
  </si>
  <si>
    <t xml:space="preserve">SR0</t>
  </si>
  <si>
    <t xml:space="preserve">ST0</t>
  </si>
  <si>
    <t xml:space="preserve">SV0</t>
  </si>
  <si>
    <t xml:space="preserve">African padauk </t>
  </si>
  <si>
    <t xml:space="preserve">African Padauk</t>
  </si>
  <si>
    <t xml:space="preserve">pterocarpus-soyauxii.jpg</t>
  </si>
  <si>
    <t xml:space="preserve">vermillion, Pterocarpus soyauxii</t>
  </si>
  <si>
    <t xml:space="preserve">https://www.wood-database.com/african-padauk/</t>
  </si>
  <si>
    <t xml:space="preserve">https://en.wikipedia.org/wiki/Pterocarpus_soyauxii</t>
  </si>
  <si>
    <t xml:space="preserve">Afrormosia </t>
  </si>
  <si>
    <t xml:space="preserve">Afrormosia</t>
  </si>
  <si>
    <t xml:space="preserve">pericopsis-elata-fs.jpg</t>
  </si>
  <si>
    <t xml:space="preserve">afromosia, African teak, Pericopsis elata</t>
  </si>
  <si>
    <t xml:space="preserve">https://www.wood-database.com/afrormosia/</t>
  </si>
  <si>
    <t xml:space="preserve">https://en.wikipedia.org/wiki/Pericopsis_elata</t>
  </si>
  <si>
    <t xml:space="preserve">Alaskan Yellow Cedar </t>
  </si>
  <si>
    <t xml:space="preserve">Alaskan Yellow Cedar</t>
  </si>
  <si>
    <t xml:space="preserve">✓</t>
  </si>
  <si>
    <t xml:space="preserve">alaska-cedar.jpg</t>
  </si>
  <si>
    <t xml:space="preserve">Nootka Cypress, Cupressus nootkatensis</t>
  </si>
  <si>
    <t xml:space="preserve">https://www.wood-database.com/alaskan-yellow-cedar/</t>
  </si>
  <si>
    <t xml:space="preserve">https://en.wikipedia.org/wiki/Callitropsis_nootkatensis</t>
  </si>
  <si>
    <t xml:space="preserve">Amazon Rosewood </t>
  </si>
  <si>
    <t xml:space="preserve">Amazon Rosewood</t>
  </si>
  <si>
    <t xml:space="preserve">amazon-rosewood-s.jpg</t>
  </si>
  <si>
    <t xml:space="preserve">Dalbergia spruceana </t>
  </si>
  <si>
    <t xml:space="preserve">https://www.wood-database.com/amazon-rosewood/</t>
  </si>
  <si>
    <t xml:space="preserve">American beech </t>
  </si>
  <si>
    <t xml:space="preserve">American Beech</t>
  </si>
  <si>
    <t xml:space="preserve">fagus-grandifolia.jpg</t>
  </si>
  <si>
    <t xml:space="preserve">Fagus grandifolia </t>
  </si>
  <si>
    <t xml:space="preserve">https://www.wood-database.com/american-beech/</t>
  </si>
  <si>
    <t xml:space="preserve">https://en.wikipedia.org/wiki/Fagus_grandifolia</t>
  </si>
  <si>
    <t xml:space="preserve">American Chestnut </t>
  </si>
  <si>
    <t xml:space="preserve">American Chestnut</t>
  </si>
  <si>
    <t xml:space="preserve">american-chestnut.jpg</t>
  </si>
  <si>
    <t xml:space="preserve">Castanea dentata </t>
  </si>
  <si>
    <t xml:space="preserve">https://www.wood-database.com/american-chestnut/</t>
  </si>
  <si>
    <t xml:space="preserve">https://en.wikipedia.org/wiki/American_chestnut</t>
  </si>
  <si>
    <t xml:space="preserve">American Elm </t>
  </si>
  <si>
    <t xml:space="preserve">American Elm</t>
  </si>
  <si>
    <t xml:space="preserve">american-elm.jpg</t>
  </si>
  <si>
    <t xml:space="preserve">Soft Elm, Water Elm, Ulmus americana</t>
  </si>
  <si>
    <t xml:space="preserve">https://www.wood-database.com/american-elm/</t>
  </si>
  <si>
    <t xml:space="preserve">https://en.wikipedia.org/wiki/Ulmus_americana</t>
  </si>
  <si>
    <t xml:space="preserve">Andean alder </t>
  </si>
  <si>
    <t xml:space="preserve">Andean alder</t>
  </si>
  <si>
    <t xml:space="preserve">alnus-rubra.jpg</t>
  </si>
  <si>
    <t xml:space="preserve">Alnus acuminata </t>
  </si>
  <si>
    <t xml:space="preserve">https://www.wood-database.com/andean-alder/</t>
  </si>
  <si>
    <t xml:space="preserve">https://en.wikipedia.org/wiki/Alnus_acuminata</t>
  </si>
  <si>
    <t xml:space="preserve">Anigre </t>
  </si>
  <si>
    <t xml:space="preserve">Anigre</t>
  </si>
  <si>
    <t xml:space="preserve">anigre.jpg</t>
  </si>
  <si>
    <t xml:space="preserve">Anegre, Aniegre, Aningeria, Pouteria spp</t>
  </si>
  <si>
    <t xml:space="preserve">https://www.wood-database.com/anigre/</t>
  </si>
  <si>
    <t xml:space="preserve">https://en.wikipedia.org/wiki/Aningeria</t>
  </si>
  <si>
    <t xml:space="preserve">Apple </t>
  </si>
  <si>
    <t xml:space="preserve">Apple</t>
  </si>
  <si>
    <t xml:space="preserve">apple.jpg</t>
  </si>
  <si>
    <t xml:space="preserve">Crab Apple, Wild Apple, Malus spp, Malus domestica, Malus sieversii, Malus sylvestris</t>
  </si>
  <si>
    <t xml:space="preserve">https://www.wood-database.com/apple/</t>
  </si>
  <si>
    <t xml:space="preserve">https://en.wikipedia.org/wiki/Apple</t>
  </si>
  <si>
    <t xml:space="preserve">Apricot </t>
  </si>
  <si>
    <t xml:space="preserve">Apricot</t>
  </si>
  <si>
    <t xml:space="preserve">apricot.jpg</t>
  </si>
  <si>
    <t xml:space="preserve">Prunus armeniaca </t>
  </si>
  <si>
    <t xml:space="preserve">https://www.wood-database.com/apricot/</t>
  </si>
  <si>
    <t xml:space="preserve">https://en.wikipedia.org/wiki/Prunus_armeniaca</t>
  </si>
  <si>
    <t xml:space="preserve">Atlantic White Cedar </t>
  </si>
  <si>
    <t xml:space="preserve">Atlantic White Cedar</t>
  </si>
  <si>
    <t xml:space="preserve">atlantic-white-cedar.jpg</t>
  </si>
  <si>
    <t xml:space="preserve">Southern White Cedar, Chamaecyparis thyoides</t>
  </si>
  <si>
    <t xml:space="preserve">https://www.wood-database.com/atlantic-white-cedar/</t>
  </si>
  <si>
    <t xml:space="preserve">https://en.wikipedia.org/wiki/Chamaecyparis_thyoides</t>
  </si>
  <si>
    <t xml:space="preserve">Atlas Cedar</t>
  </si>
  <si>
    <t xml:space="preserve">cedrus-atlantica.jpg</t>
  </si>
  <si>
    <t xml:space="preserve">Cedrus atlantica </t>
  </si>
  <si>
    <t xml:space="preserve">https://www.wood-database.com/atlas-cedar/</t>
  </si>
  <si>
    <t xml:space="preserve">https://en.wikipedia.org/wiki/Cedrus_atlantica</t>
  </si>
  <si>
    <t xml:space="preserve">Australian blackwood </t>
  </si>
  <si>
    <t xml:space="preserve">Australian Blackwood (Tasmanian Acacia)</t>
  </si>
  <si>
    <t xml:space="preserve">acacia-melanoxylon-1.jpg</t>
  </si>
  <si>
    <t xml:space="preserve">Tasmanian blackwood, Acacia blackwood, Acacia melanoxylon</t>
  </si>
  <si>
    <t xml:space="preserve">https://www.wood-database.com/australian-blackwood/</t>
  </si>
  <si>
    <t xml:space="preserve">https://en.wikipedia.org/wiki/Acacia_melanoxylon</t>
  </si>
  <si>
    <t xml:space="preserve">Australian Red Cedar </t>
  </si>
  <si>
    <t xml:space="preserve">Australian Red Cedar (Toona)</t>
  </si>
  <si>
    <t xml:space="preserve">australian-red-cedar.jpg</t>
  </si>
  <si>
    <t xml:space="preserve">Toona, Toona ciliata, Cedrela toona</t>
  </si>
  <si>
    <t xml:space="preserve">https://www.wood-database.com/australian-red-cedar/</t>
  </si>
  <si>
    <t xml:space="preserve">https://en.wikipedia.org/wiki/Toona_ciliata</t>
  </si>
  <si>
    <t xml:space="preserve">Avodire </t>
  </si>
  <si>
    <t xml:space="preserve">Avodire</t>
  </si>
  <si>
    <t xml:space="preserve">turraeanthus-africanus.jpg</t>
  </si>
  <si>
    <t xml:space="preserve">Turraeanthus africanus </t>
  </si>
  <si>
    <t xml:space="preserve">https://www.wood-database.com/avodire/</t>
  </si>
  <si>
    <t xml:space="preserve">https://en.wikipedia.org/wiki/Turraeanthus_africanus</t>
  </si>
  <si>
    <t xml:space="preserve">Bald cypress </t>
  </si>
  <si>
    <t xml:space="preserve">Bald cypress</t>
  </si>
  <si>
    <t xml:space="preserve">taxodium-distichum.jpg</t>
  </si>
  <si>
    <t xml:space="preserve">swamp cypress, sinker cypress, pecky cypress, tidewater red cypress, axodium distichum</t>
  </si>
  <si>
    <t xml:space="preserve">https://www.wood-database.com/bald-cypress/</t>
  </si>
  <si>
    <t xml:space="preserve">https://en.wikipedia.org/wiki/Taxodium_distichum</t>
  </si>
  <si>
    <t xml:space="preserve">Balsa </t>
  </si>
  <si>
    <t xml:space="preserve">Balsa</t>
  </si>
  <si>
    <t xml:space="preserve">balsa-s.jpg</t>
  </si>
  <si>
    <t xml:space="preserve">Ochroma pyramidale </t>
  </si>
  <si>
    <t xml:space="preserve">https://www.wood-database.com/balsa/</t>
  </si>
  <si>
    <t xml:space="preserve">https://en.wikipedia.org/wiki/Ochroma</t>
  </si>
  <si>
    <t xml:space="preserve">Balsam fir </t>
  </si>
  <si>
    <t xml:space="preserve">Balsam Fir</t>
  </si>
  <si>
    <t xml:space="preserve">abies-balsamea.jpg</t>
  </si>
  <si>
    <t xml:space="preserve">Abies balsamea </t>
  </si>
  <si>
    <t xml:space="preserve">https://www.wood-database.com/balsam-fir/</t>
  </si>
  <si>
    <t xml:space="preserve">https://en.wikipedia.org/wiki/Abies_balsamea</t>
  </si>
  <si>
    <t xml:space="preserve">Balsam Poplar </t>
  </si>
  <si>
    <t xml:space="preserve">Balsam Poplar</t>
  </si>
  <si>
    <t xml:space="preserve">balsam-poplar-jn.jpg</t>
  </si>
  <si>
    <t xml:space="preserve">Populus balsamifera </t>
  </si>
  <si>
    <t xml:space="preserve">https://www.wood-database.com/balsam-poplar/</t>
  </si>
  <si>
    <t xml:space="preserve">https://en.wikipedia.org/wiki/Populus_balsamifera</t>
  </si>
  <si>
    <t xml:space="preserve">Bamboo </t>
  </si>
  <si>
    <t xml:space="preserve">Bamboo</t>
  </si>
  <si>
    <t xml:space="preserve">bamboo-fs.jpg</t>
  </si>
  <si>
    <t xml:space="preserve">Phyllostachys, Bambusa, Poaceae</t>
  </si>
  <si>
    <t xml:space="preserve">https://www.wood-database.com/bamboo/</t>
  </si>
  <si>
    <t xml:space="preserve">https://en.wikipedia.org/wiki/Bamboo</t>
  </si>
  <si>
    <t xml:space="preserve">Basswood </t>
  </si>
  <si>
    <t xml:space="preserve">American Basswood (Linden, Lime)</t>
  </si>
  <si>
    <t xml:space="preserve">tilia-americana.jpg</t>
  </si>
  <si>
    <t xml:space="preserve">lime, linden, American basswood, Tilia americana</t>
  </si>
  <si>
    <t xml:space="preserve">https://www.wood-database.com/basswood/</t>
  </si>
  <si>
    <t xml:space="preserve">https://en.wikipedia.org/wiki/Tilia_americana</t>
  </si>
  <si>
    <t xml:space="preserve">Batai </t>
  </si>
  <si>
    <t xml:space="preserve">Batai (Falcata)</t>
  </si>
  <si>
    <t xml:space="preserve">falcataria-moluccana.jpg</t>
  </si>
  <si>
    <t xml:space="preserve">Moluccan albizia, Falcataria falcata</t>
  </si>
  <si>
    <t xml:space="preserve">https://www.wood-database.com/batai/</t>
  </si>
  <si>
    <t xml:space="preserve">https://en.wikipedia.org/wiki/Falcataria_falcata</t>
  </si>
  <si>
    <t xml:space="preserve">Bigleaf maple </t>
  </si>
  <si>
    <t xml:space="preserve">Bigleaf Maple (quilted, curly)</t>
  </si>
  <si>
    <t xml:space="preserve">acer-macrophyllum.jpg</t>
  </si>
  <si>
    <t xml:space="preserve">Oregon maple, Acer macrophyllum</t>
  </si>
  <si>
    <t xml:space="preserve">https://www.wood-database.com/bigleaf-maple/</t>
  </si>
  <si>
    <t xml:space="preserve">https://en.wikipedia.org/wiki/Acer_macrophyllum</t>
  </si>
  <si>
    <t xml:space="preserve">Bigtooth Aspen </t>
  </si>
  <si>
    <t xml:space="preserve">Bigtooth Aspen</t>
  </si>
  <si>
    <t xml:space="preserve">bigtooth-aspen.jpg</t>
  </si>
  <si>
    <t xml:space="preserve">Populus grandidentata </t>
  </si>
  <si>
    <t xml:space="preserve">https://www.wood-database.com/bigtooth-aspen/</t>
  </si>
  <si>
    <t xml:space="preserve">https://en.wikipedia.org/wiki/Populus_grandidentata</t>
  </si>
  <si>
    <t xml:space="preserve">Black Ash </t>
  </si>
  <si>
    <t xml:space="preserve">Black Ash</t>
  </si>
  <si>
    <t xml:space="preserve">black-ash.jpg</t>
  </si>
  <si>
    <t xml:space="preserve">Fraxinus nigra </t>
  </si>
  <si>
    <t xml:space="preserve">https://www.wood-database.com/black-ash/</t>
  </si>
  <si>
    <t xml:space="preserve">https://en.wikipedia.org/wiki/Fraxinus_nigra</t>
  </si>
  <si>
    <t xml:space="preserve">Black cherry </t>
  </si>
  <si>
    <t xml:space="preserve">Black Cherry</t>
  </si>
  <si>
    <t xml:space="preserve">prunus-serotina.jpg</t>
  </si>
  <si>
    <t xml:space="preserve">American cherry, Prunus serotina</t>
  </si>
  <si>
    <t xml:space="preserve">https://www.wood-database.com/black-cherry/</t>
  </si>
  <si>
    <t xml:space="preserve">https://en.wikipedia.org/wiki/Prunus_serotina</t>
  </si>
  <si>
    <t xml:space="preserve">Black Cottonwood </t>
  </si>
  <si>
    <t xml:space="preserve">Black Cottonwood</t>
  </si>
  <si>
    <t xml:space="preserve">black-cottonwood.jpg</t>
  </si>
  <si>
    <t xml:space="preserve">Populus trichocarpa </t>
  </si>
  <si>
    <t xml:space="preserve">https://www.wood-database.com/black-cottonwood/</t>
  </si>
  <si>
    <t xml:space="preserve">https://en.wikipedia.org/wiki/Populus_trichocarpa</t>
  </si>
  <si>
    <t xml:space="preserve">Black Ironwood </t>
  </si>
  <si>
    <t xml:space="preserve">Black Ironwood</t>
  </si>
  <si>
    <t xml:space="preserve">black-ironwood.jpg</t>
  </si>
  <si>
    <t xml:space="preserve">Leadwood, Krugiodendron ferreum</t>
  </si>
  <si>
    <t xml:space="preserve">https://www.wood-database.com/black-ironwood/</t>
  </si>
  <si>
    <t xml:space="preserve">https://en.wikipedia.org/wiki/Krugiodendron</t>
  </si>
  <si>
    <t xml:space="preserve">Black locust </t>
  </si>
  <si>
    <t xml:space="preserve">Black Locust</t>
  </si>
  <si>
    <t xml:space="preserve">robinia-pseudoacacia.jpg</t>
  </si>
  <si>
    <t xml:space="preserve">robinia, false acacia, Robinia pseudoacacia</t>
  </si>
  <si>
    <t xml:space="preserve">https://www.wood-database.com/black-locust/</t>
  </si>
  <si>
    <t xml:space="preserve">https://en.wikipedia.org/wiki/Robinia_pseudoacacia</t>
  </si>
  <si>
    <t xml:space="preserve">Black maple </t>
  </si>
  <si>
    <t xml:space="preserve">Black Maple</t>
  </si>
  <si>
    <t xml:space="preserve">acer-nigrum.jpg</t>
  </si>
  <si>
    <t xml:space="preserve">black sugar maple, Acer nigrum</t>
  </si>
  <si>
    <t xml:space="preserve">https://www.wood-database.com/black-maple/</t>
  </si>
  <si>
    <t xml:space="preserve">https://en.wikipedia.org/wiki/Acer_nigrum</t>
  </si>
  <si>
    <t xml:space="preserve">Black Oak </t>
  </si>
  <si>
    <t xml:space="preserve">Black Oak</t>
  </si>
  <si>
    <t xml:space="preserve">black-oak.jpg</t>
  </si>
  <si>
    <t xml:space="preserve">Eastern Black Oak, Quercus velutina</t>
  </si>
  <si>
    <t xml:space="preserve">https://www.wood-database.com/black-oak/</t>
  </si>
  <si>
    <t xml:space="preserve">https://en.wikipedia.org/wiki/Quercus_velutina</t>
  </si>
  <si>
    <t xml:space="preserve">Black Poplar </t>
  </si>
  <si>
    <t xml:space="preserve">Black Poplar</t>
  </si>
  <si>
    <t xml:space="preserve">black-poplar.jpg</t>
  </si>
  <si>
    <t xml:space="preserve">Lombardy Poplar, Mappa burl, Populus nigra</t>
  </si>
  <si>
    <t xml:space="preserve">https://www.wood-database.com/black-poplar/</t>
  </si>
  <si>
    <t xml:space="preserve">https://en.wikipedia.org/wiki/Populus_nigra</t>
  </si>
  <si>
    <t xml:space="preserve">Black siris </t>
  </si>
  <si>
    <t xml:space="preserve">Black siris</t>
  </si>
  <si>
    <t xml:space="preserve">albizia-odoratissima.jpg</t>
  </si>
  <si>
    <t xml:space="preserve">bhilwara, albizia, Ceylon rosewood, Albizia odoratissima</t>
  </si>
  <si>
    <t xml:space="preserve">https://www.wood-database.com/black-siris/</t>
  </si>
  <si>
    <t xml:space="preserve">https://en.wikipedia.org/wiki/Albizia_odoratissima</t>
  </si>
  <si>
    <t xml:space="preserve">Black Spruce </t>
  </si>
  <si>
    <t xml:space="preserve">Black Spruce</t>
  </si>
  <si>
    <t xml:space="preserve">black-spruce.jpg</t>
  </si>
  <si>
    <t xml:space="preserve">Picea mariana </t>
  </si>
  <si>
    <t xml:space="preserve">https://www.wood-database.com/black-spruce/</t>
  </si>
  <si>
    <t xml:space="preserve">https://en.wikipedia.org/wiki/Picea_mariana</t>
  </si>
  <si>
    <t xml:space="preserve">Black Tupelo </t>
  </si>
  <si>
    <t xml:space="preserve">Black Tupelo</t>
  </si>
  <si>
    <t xml:space="preserve">black-tupelo.jpg</t>
  </si>
  <si>
    <t xml:space="preserve">Blackgum, Nyssa sylvatica</t>
  </si>
  <si>
    <t xml:space="preserve">https://www.wood-database.com/black-tupelo/</t>
  </si>
  <si>
    <t xml:space="preserve">https://en.wikipedia.org/wiki/Nyssa_sylvatica</t>
  </si>
  <si>
    <t xml:space="preserve">Black walnut </t>
  </si>
  <si>
    <t xml:space="preserve">Black Walnut</t>
  </si>
  <si>
    <t xml:space="preserve">juglans-nigra.jpg</t>
  </si>
  <si>
    <t xml:space="preserve">American walnut, Juglans nigra</t>
  </si>
  <si>
    <t xml:space="preserve">https://www.wood-database.com/black-walnut/</t>
  </si>
  <si>
    <t xml:space="preserve">https://en.wikipedia.org/wiki/Juglans_nigra</t>
  </si>
  <si>
    <t xml:space="preserve">Black Willow </t>
  </si>
  <si>
    <t xml:space="preserve">Black Willow</t>
  </si>
  <si>
    <t xml:space="preserve">black-willow-s.jpg</t>
  </si>
  <si>
    <t xml:space="preserve">Salix nigra </t>
  </si>
  <si>
    <t xml:space="preserve">https://www.wood-database.com/black-willow/</t>
  </si>
  <si>
    <t xml:space="preserve">https://en.wikipedia.org/wiki/Salix_nigra</t>
  </si>
  <si>
    <t xml:space="preserve">Bloodwood </t>
  </si>
  <si>
    <t xml:space="preserve">Bloodwood</t>
  </si>
  <si>
    <t xml:space="preserve">bloodwood.jpg</t>
  </si>
  <si>
    <t xml:space="preserve">Satine, Brosimum rubescens, Brosimum paraense</t>
  </si>
  <si>
    <t xml:space="preserve">https://www.wood-database.com/bloodwood/</t>
  </si>
  <si>
    <t xml:space="preserve">https://en.wikipedia.org/wiki/Brosimum</t>
  </si>
  <si>
    <t xml:space="preserve">Blue gum </t>
  </si>
  <si>
    <t xml:space="preserve">Blue Gum (eucalyptus)</t>
  </si>
  <si>
    <t xml:space="preserve">eucalyptus-globulus.jpg</t>
  </si>
  <si>
    <t xml:space="preserve">Southern blue gum, Eucalyptus globulus</t>
  </si>
  <si>
    <t xml:space="preserve">https://www.wood-database.com/blue-gum/</t>
  </si>
  <si>
    <t xml:space="preserve">https://en.wikipedia.org/wiki/Eucalyptus_globulus</t>
  </si>
  <si>
    <t xml:space="preserve">Bocote </t>
  </si>
  <si>
    <t xml:space="preserve">Bocote</t>
  </si>
  <si>
    <t xml:space="preserve">bocote.jpg</t>
  </si>
  <si>
    <t xml:space="preserve">Cordia spp </t>
  </si>
  <si>
    <t xml:space="preserve">https://www.wood-database.com/bocote/</t>
  </si>
  <si>
    <t xml:space="preserve">https://en.wikipedia.org/wiki/Cordia</t>
  </si>
  <si>
    <t xml:space="preserve">Bois de Rose </t>
  </si>
  <si>
    <t xml:space="preserve">Bois de Rose (Rosewood)</t>
  </si>
  <si>
    <t xml:space="preserve">bois-de-rose.jpg</t>
  </si>
  <si>
    <t xml:space="preserve">Dalbergia maritima, Dalbergia louvelii </t>
  </si>
  <si>
    <t xml:space="preserve">https://www.wood-database.com/bois-de-rose/</t>
  </si>
  <si>
    <t xml:space="preserve">https://en.wikipedia.org/wiki/Dalbergia_maritima</t>
  </si>
  <si>
    <t xml:space="preserve">Boxwood </t>
  </si>
  <si>
    <t xml:space="preserve">Boxwood</t>
  </si>
  <si>
    <t xml:space="preserve">buxus-sempervirens.jpg</t>
  </si>
  <si>
    <t xml:space="preserve">European boxwood, common box, Buxus sempervirens</t>
  </si>
  <si>
    <t xml:space="preserve">https://www.wood-database.com/boxwood/</t>
  </si>
  <si>
    <t xml:space="preserve">https://en.wikipedia.org/wiki/Buxus_sempervirens</t>
  </si>
  <si>
    <t xml:space="preserve">Brazilian rosewood </t>
  </si>
  <si>
    <t xml:space="preserve">Brazilian Rosewood</t>
  </si>
  <si>
    <t xml:space="preserve">dalbergia-nigra.jpg</t>
  </si>
  <si>
    <t xml:space="preserve">Dalbergia nigra </t>
  </si>
  <si>
    <t xml:space="preserve">https://www.wood-database.com/brazilian-rosewood/</t>
  </si>
  <si>
    <t xml:space="preserve">https://en.wikipedia.org/wiki/Dalbergia_nigra</t>
  </si>
  <si>
    <t xml:space="preserve">Brazilwood </t>
  </si>
  <si>
    <t xml:space="preserve">Brazilwood (Pernambuco)</t>
  </si>
  <si>
    <t xml:space="preserve">paubrasilia-echinata.jpg</t>
  </si>
  <si>
    <t xml:space="preserve">pernambuco, Paubrasilia echinata</t>
  </si>
  <si>
    <t xml:space="preserve">https://www.wood-database.com/brazilwood/</t>
  </si>
  <si>
    <t xml:space="preserve">https://en.wikipedia.org/wiki/Paubrasilia</t>
  </si>
  <si>
    <t xml:space="preserve">Bubinga </t>
  </si>
  <si>
    <t xml:space="preserve">Bubinga (African Rosewood)</t>
  </si>
  <si>
    <t xml:space="preserve">guibourtia-spp.jpg</t>
  </si>
  <si>
    <t xml:space="preserve">kevazingo, African rosewood, Guibourtia spp, Guibourtia demeusei, Guibourtia pellegriniana, Guibourtia tessmannii</t>
  </si>
  <si>
    <t xml:space="preserve">https://www.wood-database.com/bubinga/</t>
  </si>
  <si>
    <t xml:space="preserve">https://en.wikipedia.org/wiki/Guibourtia</t>
  </si>
  <si>
    <t xml:space="preserve">Bulletwood </t>
  </si>
  <si>
    <t xml:space="preserve">Bulletwood</t>
  </si>
  <si>
    <t xml:space="preserve">bulletwood.jpg</t>
  </si>
  <si>
    <t xml:space="preserve">Massaranduba, Manilkara bidentata</t>
  </si>
  <si>
    <t xml:space="preserve">https://www.wood-database.com/bulletwood/</t>
  </si>
  <si>
    <t xml:space="preserve">https://en.wikipedia.org/wiki/Manilkara_bidentata</t>
  </si>
  <si>
    <t xml:space="preserve">Bur Oak </t>
  </si>
  <si>
    <t xml:space="preserve">Bur Oak</t>
  </si>
  <si>
    <t xml:space="preserve">bur-oak.jpg</t>
  </si>
  <si>
    <t xml:space="preserve">Burr Oak, Mossycup Oak, Quercus macrocarpa</t>
  </si>
  <si>
    <t xml:space="preserve">https://www.wood-database.com/bur-oak/</t>
  </si>
  <si>
    <t xml:space="preserve">https://en.wikipedia.org/wiki/Quercus_macrocarpa</t>
  </si>
  <si>
    <t xml:space="preserve">Burma Padauk </t>
  </si>
  <si>
    <t xml:space="preserve">Burma Padauk</t>
  </si>
  <si>
    <t xml:space="preserve">burma-padauk.jpg</t>
  </si>
  <si>
    <t xml:space="preserve">Pterocarpus macrocarpus </t>
  </si>
  <si>
    <t xml:space="preserve">https://www.wood-database.com/burma-padauk/</t>
  </si>
  <si>
    <t xml:space="preserve">https://en.wikipedia.org/wiki/Pterocarpus_macrocarpus</t>
  </si>
  <si>
    <t xml:space="preserve">Burmese Rosewood </t>
  </si>
  <si>
    <t xml:space="preserve">Burmese Rosewood</t>
  </si>
  <si>
    <t xml:space="preserve">burmese-rosewood.jpg</t>
  </si>
  <si>
    <t xml:space="preserve">Dalbergia oliveri </t>
  </si>
  <si>
    <t xml:space="preserve">https://www.wood-database.com/burmese-rosewood/</t>
  </si>
  <si>
    <t xml:space="preserve">https://en.wikipedia.org/wiki/Dalbergia_oliveri</t>
  </si>
  <si>
    <t xml:space="preserve">Butternut </t>
  </si>
  <si>
    <t xml:space="preserve">Butternut</t>
  </si>
  <si>
    <t xml:space="preserve">butternut.jpg</t>
  </si>
  <si>
    <t xml:space="preserve">White Walnut, Juglans cinerea</t>
  </si>
  <si>
    <t xml:space="preserve">https://www.wood-database.com/butternut/</t>
  </si>
  <si>
    <t xml:space="preserve">https://en.wikipedia.org/wiki/Juglans_cinerea</t>
  </si>
  <si>
    <t xml:space="preserve">California Black Oak </t>
  </si>
  <si>
    <t xml:space="preserve">California Black Oak</t>
  </si>
  <si>
    <t xml:space="preserve">california-black-oak.jpg</t>
  </si>
  <si>
    <t xml:space="preserve">Kellogg Oak, Quercus kelloggii</t>
  </si>
  <si>
    <t xml:space="preserve">https://www.wood-database.com/california-black-oak/</t>
  </si>
  <si>
    <t xml:space="preserve">https://en.wikipedia.org/wiki/Quercus_kelloggii</t>
  </si>
  <si>
    <t xml:space="preserve">California red fir </t>
  </si>
  <si>
    <t xml:space="preserve">California red fir</t>
  </si>
  <si>
    <t xml:space="preserve">abies-magnifica.jpg</t>
  </si>
  <si>
    <t xml:space="preserve">silvertip fir, red fir, Abies magnifica</t>
  </si>
  <si>
    <t xml:space="preserve">https://www.wood-database.com/california-red-fir/</t>
  </si>
  <si>
    <t xml:space="preserve">https://en.wikipedia.org/wiki/Abies_magnifica</t>
  </si>
  <si>
    <t xml:space="preserve">Canarywood </t>
  </si>
  <si>
    <t xml:space="preserve">Canarywood</t>
  </si>
  <si>
    <t xml:space="preserve">canarywood-jh.jpg</t>
  </si>
  <si>
    <t xml:space="preserve">Canary, Centrolobium spp</t>
  </si>
  <si>
    <t xml:space="preserve">https://www.wood-database.com/canarywood/</t>
  </si>
  <si>
    <t xml:space="preserve">https://en.wikipedia.org/wiki/Centrolobium</t>
  </si>
  <si>
    <t xml:space="preserve">Candlenut </t>
  </si>
  <si>
    <t xml:space="preserve">Candlenut</t>
  </si>
  <si>
    <t xml:space="preserve">aleurites-moluccanus.jpg</t>
  </si>
  <si>
    <t xml:space="preserve">kemiri, candleberry, lumbang, Aleurites moluccanus</t>
  </si>
  <si>
    <t xml:space="preserve">https://www.wood-database.com/candlenut/</t>
  </si>
  <si>
    <t xml:space="preserve">https://en.wikipedia.org/wiki/Aleurites_moluccanus</t>
  </si>
  <si>
    <t xml:space="preserve">Catalpa </t>
  </si>
  <si>
    <t xml:space="preserve">Catalpa</t>
  </si>
  <si>
    <t xml:space="preserve">northern-catalpa.jpg</t>
  </si>
  <si>
    <t xml:space="preserve">Catalpa spp, Catalpa speciosa, Catalpa bignonioides</t>
  </si>
  <si>
    <t xml:space="preserve">https://www.wood-database.com/catalpa/</t>
  </si>
  <si>
    <t xml:space="preserve">https://en.wikipedia.org/wiki/Catalpa</t>
  </si>
  <si>
    <t xml:space="preserve">Cedar of Lebanon </t>
  </si>
  <si>
    <t xml:space="preserve">Cedar of Lebanon</t>
  </si>
  <si>
    <t xml:space="preserve">cedrus-libani-1.jpg</t>
  </si>
  <si>
    <t xml:space="preserve">Lebanese cedar, Cedrus libani</t>
  </si>
  <si>
    <t xml:space="preserve">https://www.wood-database.com/cedar-of-lebanon/</t>
  </si>
  <si>
    <t xml:space="preserve">https://en.wikipedia.org/wiki/Cedrus_libani</t>
  </si>
  <si>
    <t xml:space="preserve">Cerejeira </t>
  </si>
  <si>
    <t xml:space="preserve">Cerejeira</t>
  </si>
  <si>
    <t xml:space="preserve">amburana-cearensis-qs.jpg</t>
  </si>
  <si>
    <t xml:space="preserve">amburana, Amburana cearensis</t>
  </si>
  <si>
    <t xml:space="preserve">https://www.wood-database.com/cerejeira/</t>
  </si>
  <si>
    <t xml:space="preserve">https://en.wikipedia.org/wiki/Amburana_cearensis</t>
  </si>
  <si>
    <t xml:space="preserve">Ceylon Ebony </t>
  </si>
  <si>
    <t xml:space="preserve">Ceylon Ebony</t>
  </si>
  <si>
    <t xml:space="preserve">ceylon-ebony.jpg</t>
  </si>
  <si>
    <t xml:space="preserve">East Indian Ebony, Diospyros ebenum</t>
  </si>
  <si>
    <t xml:space="preserve">https://www.wood-database.com/ceylon-ebony/</t>
  </si>
  <si>
    <t xml:space="preserve">https://en.wikipedia.org/wiki/Diospyros_ebenum</t>
  </si>
  <si>
    <t xml:space="preserve">Chechen </t>
  </si>
  <si>
    <t xml:space="preserve">Chechen</t>
  </si>
  <si>
    <t xml:space="preserve">metopium-brownei.jpg</t>
  </si>
  <si>
    <t xml:space="preserve">black poisonwood, Caribbean rosewood, Metopium brownei</t>
  </si>
  <si>
    <t xml:space="preserve">https://www.wood-database.com/chechen/</t>
  </si>
  <si>
    <t xml:space="preserve">https://en.wikipedia.org/wiki/Metopium_brownei</t>
  </si>
  <si>
    <t xml:space="preserve">Cheesewood </t>
  </si>
  <si>
    <t xml:space="preserve">Cheesewood</t>
  </si>
  <si>
    <t xml:space="preserve">alstonia-congensis.jpg</t>
  </si>
  <si>
    <t xml:space="preserve">emien, Alstonia congensis, Alstonia boonei</t>
  </si>
  <si>
    <t xml:space="preserve">https://www.wood-database.com/cheesewood/</t>
  </si>
  <si>
    <t xml:space="preserve">https://en.wikipedia.org/wiki/Alstonia_congensis</t>
  </si>
  <si>
    <t xml:space="preserve">Cherrybark Oak </t>
  </si>
  <si>
    <t xml:space="preserve">Cherrybark Oak</t>
  </si>
  <si>
    <t xml:space="preserve">red-oak.jpg</t>
  </si>
  <si>
    <t xml:space="preserve">Quercus pagoda </t>
  </si>
  <si>
    <t xml:space="preserve">https://www.wood-database.com/cherrybark-oak/</t>
  </si>
  <si>
    <t xml:space="preserve">https://en.wikipedia.org/wiki/Quercus_pagoda</t>
  </si>
  <si>
    <t xml:space="preserve">Chestnut Oak </t>
  </si>
  <si>
    <t xml:space="preserve">Chestnut Oak</t>
  </si>
  <si>
    <t xml:space="preserve">chestnut-oak.jpg</t>
  </si>
  <si>
    <t xml:space="preserve">Quercus montana </t>
  </si>
  <si>
    <t xml:space="preserve">https://www.wood-database.com/chestnut-oak/</t>
  </si>
  <si>
    <t xml:space="preserve">https://en.wikipedia.org/wiki/Quercus_montana</t>
  </si>
  <si>
    <t xml:space="preserve">Claro Walnut </t>
  </si>
  <si>
    <t xml:space="preserve">Claro Walnut (California Black)</t>
  </si>
  <si>
    <t xml:space="preserve">claro-walnut-wt.jpg</t>
  </si>
  <si>
    <t xml:space="preserve">California Black Walnut, Juglans hindsii, Juglans californica</t>
  </si>
  <si>
    <t xml:space="preserve">https://www.wood-database.com/claro-walnut/</t>
  </si>
  <si>
    <t xml:space="preserve">https://en.wikipedia.org/wiki/Juglans_hindsii</t>
  </si>
  <si>
    <t xml:space="preserve">Coast redwood </t>
  </si>
  <si>
    <t xml:space="preserve">Coast Redwood</t>
  </si>
  <si>
    <t xml:space="preserve">sequoia-sempervirens.jpg</t>
  </si>
  <si>
    <t xml:space="preserve">giant sequoia, California redwood, vavona (burl), Sequoia sempervirens</t>
  </si>
  <si>
    <t xml:space="preserve">https://www.wood-database.com/coast-redwood/</t>
  </si>
  <si>
    <t xml:space="preserve">https://en.wikipedia.org/wiki/Sequoia_sempervirens</t>
  </si>
  <si>
    <t xml:space="preserve">Cocobolo </t>
  </si>
  <si>
    <t xml:space="preserve">Cocobolo (Rosewood)</t>
  </si>
  <si>
    <t xml:space="preserve">dalbergia-retusa-alt.jpg</t>
  </si>
  <si>
    <t xml:space="preserve">Dalbergia retusa </t>
  </si>
  <si>
    <t xml:space="preserve">https://www.wood-database.com/cocobolo/</t>
  </si>
  <si>
    <t xml:space="preserve">https://en.wikipedia.org/wiki/Dalbergia_retusa</t>
  </si>
  <si>
    <t xml:space="preserve">Cuban Mahogany </t>
  </si>
  <si>
    <t xml:space="preserve">Cuban Mahogany</t>
  </si>
  <si>
    <t xml:space="preserve">cuban-mahogany.jpg</t>
  </si>
  <si>
    <t xml:space="preserve">West Indies Mahogany, Swietenia mahogani</t>
  </si>
  <si>
    <t xml:space="preserve">https://www.wood-database.com/cuban-mahogany/</t>
  </si>
  <si>
    <t xml:space="preserve">https://en.wikipedia.org/wiki/Swietenia_mahagoni</t>
  </si>
  <si>
    <t xml:space="preserve">Cucumbertree </t>
  </si>
  <si>
    <t xml:space="preserve">Cucumbertree</t>
  </si>
  <si>
    <t xml:space="preserve">cucumbertree.jpg</t>
  </si>
  <si>
    <t xml:space="preserve">Cucumber Magnolia, Magnolia acuminata</t>
  </si>
  <si>
    <t xml:space="preserve">https://www.wood-database.com/cucumbertree/</t>
  </si>
  <si>
    <t xml:space="preserve">https://en.wikipedia.org/wiki/Magnolia_acuminata</t>
  </si>
  <si>
    <t xml:space="preserve">Cumaru </t>
  </si>
  <si>
    <t xml:space="preserve">Cumaru</t>
  </si>
  <si>
    <t xml:space="preserve">cumaru.jpg</t>
  </si>
  <si>
    <t xml:space="preserve">Brazilian Teak, Dipteryx odorata</t>
  </si>
  <si>
    <t xml:space="preserve">https://www.wood-database.com/cumaru/</t>
  </si>
  <si>
    <t xml:space="preserve">https://en.wikipedia.org/wiki/Dipteryx_odorata</t>
  </si>
  <si>
    <t xml:space="preserve">Curupay </t>
  </si>
  <si>
    <t xml:space="preserve">Curupay</t>
  </si>
  <si>
    <t xml:space="preserve">anadenanthera-colubrina-2.jpg</t>
  </si>
  <si>
    <t xml:space="preserve">cebil, Patagonian rosewood, Anadenanthera colubrina, Anadenanthera peregrina</t>
  </si>
  <si>
    <t xml:space="preserve">https://www.wood-database.com/curupay/</t>
  </si>
  <si>
    <t xml:space="preserve">https://en.wikipedia.org/wiki/Anadenanthera_colubrina</t>
  </si>
  <si>
    <t xml:space="preserve">Dark Red Meranti </t>
  </si>
  <si>
    <t xml:space="preserve">Dark Red Meranti (Lauan)</t>
  </si>
  <si>
    <t xml:space="preserve">dark-red-meranti.jpg</t>
  </si>
  <si>
    <t xml:space="preserve">Lauan, Philippine Mahogany, Shorea spp</t>
  </si>
  <si>
    <t xml:space="preserve">https://www.wood-database.com/dark-red-meranti/</t>
  </si>
  <si>
    <t xml:space="preserve">https://en.wikipedia.org/wiki/Shorea_acuminata</t>
  </si>
  <si>
    <t xml:space="preserve">Desert Ironwood </t>
  </si>
  <si>
    <t xml:space="preserve">Desert Ironwood</t>
  </si>
  <si>
    <t xml:space="preserve">desert-ironwood.jpg</t>
  </si>
  <si>
    <t xml:space="preserve">Olneya tesota </t>
  </si>
  <si>
    <t xml:space="preserve">https://www.wood-database.com/desert-ironwood/</t>
  </si>
  <si>
    <t xml:space="preserve">https://en.wikipedia.org/wiki/Olneya</t>
  </si>
  <si>
    <t xml:space="preserve">Douglas fir </t>
  </si>
  <si>
    <t xml:space="preserve">Douglas-fir</t>
  </si>
  <si>
    <t xml:space="preserve">pseudotsuga-menziesii.jpg</t>
  </si>
  <si>
    <t xml:space="preserve">Pseudotsuga menziesii </t>
  </si>
  <si>
    <t xml:space="preserve">https://www.wood-database.com/douglas-fir/</t>
  </si>
  <si>
    <t xml:space="preserve">https://en.wikipedia.org/wiki/Douglas_fir</t>
  </si>
  <si>
    <t xml:space="preserve">East Indian kauri </t>
  </si>
  <si>
    <t xml:space="preserve">East Indian kauri</t>
  </si>
  <si>
    <t xml:space="preserve">agathis-dammara.jpg</t>
  </si>
  <si>
    <t xml:space="preserve">Amboyna pine, almaciga, Agathis dammara</t>
  </si>
  <si>
    <t xml:space="preserve">https://www.wood-database.com/east-indian-kauri/</t>
  </si>
  <si>
    <t xml:space="preserve">https://en.wikipedia.org/wiki/Agathis_dammara</t>
  </si>
  <si>
    <t xml:space="preserve">East Indian rosewood </t>
  </si>
  <si>
    <t xml:space="preserve">East Indian Rosewood</t>
  </si>
  <si>
    <t xml:space="preserve">dalbergia-latifolia-veneer-1.jpg</t>
  </si>
  <si>
    <t xml:space="preserve">Indian palisander, Indian rosewood, sonokeling, Dalbergia latifolia</t>
  </si>
  <si>
    <t xml:space="preserve">https://www.wood-database.com/east-indian-rosewood/</t>
  </si>
  <si>
    <t xml:space="preserve">https://en.wikipedia.org/wiki/Dalbergia_latifolia</t>
  </si>
  <si>
    <t xml:space="preserve">East Indian satinwood </t>
  </si>
  <si>
    <t xml:space="preserve">East Indian Satinwood</t>
  </si>
  <si>
    <t xml:space="preserve">chloroxylon-swietenia.jpg</t>
  </si>
  <si>
    <t xml:space="preserve">Ceylon satinwood, Chloroxylon swietenia</t>
  </si>
  <si>
    <t xml:space="preserve">https://www.wood-database.com/east-indian-satinwood/</t>
  </si>
  <si>
    <t xml:space="preserve">https://en.wikipedia.org/wiki/Chloroxylon_swietenia</t>
  </si>
  <si>
    <t xml:space="preserve">Eastern Cottonwood </t>
  </si>
  <si>
    <t xml:space="preserve">Eastern Cottonwood</t>
  </si>
  <si>
    <t xml:space="preserve">eastern-cottonwood.jpg</t>
  </si>
  <si>
    <t xml:space="preserve">Populus deltoides </t>
  </si>
  <si>
    <t xml:space="preserve">https://www.wood-database.com/eastern-cottonwood/</t>
  </si>
  <si>
    <t xml:space="preserve">https://en.wikipedia.org/wiki/Populus_deltoides</t>
  </si>
  <si>
    <t xml:space="preserve">Eastern Hemlock </t>
  </si>
  <si>
    <t xml:space="preserve">Eastern Hemlock</t>
  </si>
  <si>
    <t xml:space="preserve">eastern-hemlock.jpg</t>
  </si>
  <si>
    <t xml:space="preserve">Canadian Hemlock, Tsuga canadensis</t>
  </si>
  <si>
    <t xml:space="preserve">https://www.wood-database.com/eastern-hemlock/</t>
  </si>
  <si>
    <t xml:space="preserve">https://en.wikipedia.org/wiki/Tsuga_canadensis</t>
  </si>
  <si>
    <t xml:space="preserve">Eastern Red Cedar </t>
  </si>
  <si>
    <t xml:space="preserve">Eastern Red Cedar</t>
  </si>
  <si>
    <t xml:space="preserve">aromatic-red-cedar.jpg</t>
  </si>
  <si>
    <t xml:space="preserve">Aromatic Red Cedar, Juniperus virginiana</t>
  </si>
  <si>
    <t xml:space="preserve">https://www.wood-database.com/eastern-red-cedar/</t>
  </si>
  <si>
    <t xml:space="preserve">https://en.wikipedia.org/wiki/Juniperus_virginiana</t>
  </si>
  <si>
    <t xml:space="preserve">Eastern White Pine </t>
  </si>
  <si>
    <t xml:space="preserve">Eastern White Pine</t>
  </si>
  <si>
    <t xml:space="preserve">eastern-white-pine.jpg</t>
  </si>
  <si>
    <t xml:space="preserve">Pinus strobus </t>
  </si>
  <si>
    <t xml:space="preserve">https://www.wood-database.com/eastern-white-pine/</t>
  </si>
  <si>
    <t xml:space="preserve">https://en.wikipedia.org/wiki/Pinus_strobus</t>
  </si>
  <si>
    <t xml:space="preserve">Ebiara </t>
  </si>
  <si>
    <t xml:space="preserve">Ebiara</t>
  </si>
  <si>
    <t xml:space="preserve">berlinia-s.jpg</t>
  </si>
  <si>
    <t xml:space="preserve">Berlinia, Poculi, Red Zebrawood, Berlinia spp, Berlinia auriculata, Berlinia bracteosa, Berlinia confusa, Berlinia grandiflora</t>
  </si>
  <si>
    <t xml:space="preserve">https://www.wood-database.com/ebiara/</t>
  </si>
  <si>
    <t xml:space="preserve">https://en.wikipedia.org/wiki/Berlinia</t>
  </si>
  <si>
    <t xml:space="preserve">Engelmann Spruce </t>
  </si>
  <si>
    <t xml:space="preserve">Engelmann Spruce</t>
  </si>
  <si>
    <t xml:space="preserve">engelmann-spruce.jpg</t>
  </si>
  <si>
    <t xml:space="preserve">Picea engelmannii </t>
  </si>
  <si>
    <t xml:space="preserve">https://www.wood-database.com/engelmann-spruce/</t>
  </si>
  <si>
    <t xml:space="preserve">https://en.wikipedia.org/wiki/Picea_engelmannii</t>
  </si>
  <si>
    <t xml:space="preserve">English Walnut </t>
  </si>
  <si>
    <t xml:space="preserve">English Walnut</t>
  </si>
  <si>
    <t xml:space="preserve">english-walnut.jpg</t>
  </si>
  <si>
    <t xml:space="preserve">Circassian Walnut, European Walnut, French Walnut, Common Walnut, Juglans regia</t>
  </si>
  <si>
    <t xml:space="preserve">https://www.wood-database.com/english-walnut/</t>
  </si>
  <si>
    <t xml:space="preserve">https://en.wikipedia.org/wiki/Juglans_regia</t>
  </si>
  <si>
    <t xml:space="preserve">Etimoe </t>
  </si>
  <si>
    <t xml:space="preserve">Etimoé</t>
  </si>
  <si>
    <t xml:space="preserve">etimoe.jpg</t>
  </si>
  <si>
    <t xml:space="preserve">African Etimoe, Copaifera spp, Copaifera mildbraedii, Copaifera salikounda</t>
  </si>
  <si>
    <t xml:space="preserve">https://www.wood-database.com/etimoe/</t>
  </si>
  <si>
    <t xml:space="preserve">https://en.wikipedia.org/wiki/Copaifera</t>
  </si>
  <si>
    <t xml:space="preserve">European alder </t>
  </si>
  <si>
    <t xml:space="preserve">European Alder (Black Alder)</t>
  </si>
  <si>
    <t xml:space="preserve">alnus-glutinosa.jpg</t>
  </si>
  <si>
    <t xml:space="preserve">black alder, common alder, Alnus glutinosa</t>
  </si>
  <si>
    <t xml:space="preserve">https://www.wood-database.com/european-alder/</t>
  </si>
  <si>
    <t xml:space="preserve">https://en.wikipedia.org/wiki/Alnus_glutinosa</t>
  </si>
  <si>
    <t xml:space="preserve">European Ash </t>
  </si>
  <si>
    <t xml:space="preserve">European Ash</t>
  </si>
  <si>
    <t xml:space="preserve">european-ash-s.jpg</t>
  </si>
  <si>
    <t xml:space="preserve">Common Ash, Fraxinus excelsior</t>
  </si>
  <si>
    <t xml:space="preserve">https://www.wood-database.com/european-ash/</t>
  </si>
  <si>
    <t xml:space="preserve">https://en.wikipedia.org/wiki/Fraxinus_excelsior</t>
  </si>
  <si>
    <t xml:space="preserve">European beech </t>
  </si>
  <si>
    <t xml:space="preserve">European Beech</t>
  </si>
  <si>
    <t xml:space="preserve">fagus-sylvatica.jpg</t>
  </si>
  <si>
    <t xml:space="preserve">common beech, Fagus sylvatica</t>
  </si>
  <si>
    <t xml:space="preserve">https://www.wood-database.com/european-beech/</t>
  </si>
  <si>
    <t xml:space="preserve">https://en.wikipedia.org/wiki/Fagus_sylvatica</t>
  </si>
  <si>
    <t xml:space="preserve">European Hornbeam </t>
  </si>
  <si>
    <t xml:space="preserve">European Hornbeam</t>
  </si>
  <si>
    <t xml:space="preserve">european-hornbeam.jpg</t>
  </si>
  <si>
    <t xml:space="preserve">Common Hornbeam, Carpinus betulus</t>
  </si>
  <si>
    <t xml:space="preserve">https://www.wood-database.com/european-hornbeam/</t>
  </si>
  <si>
    <t xml:space="preserve">https://en.wikipedia.org/wiki/Carpinus_betulus</t>
  </si>
  <si>
    <t xml:space="preserve">European Lime </t>
  </si>
  <si>
    <t xml:space="preserve">European Lime (Linden)</t>
  </si>
  <si>
    <t xml:space="preserve">european-lime-s.jpg</t>
  </si>
  <si>
    <t xml:space="preserve">Common Lime, Common Linden, Tilia x europaea</t>
  </si>
  <si>
    <t xml:space="preserve">https://www.wood-database.com/european-lime/</t>
  </si>
  <si>
    <t xml:space="preserve">https://en.wikipedia.org/wiki/Tilia_×_europaea</t>
  </si>
  <si>
    <t xml:space="preserve">European silver fir </t>
  </si>
  <si>
    <t xml:space="preserve">European Silver Fir</t>
  </si>
  <si>
    <t xml:space="preserve">abies-alba.jpg</t>
  </si>
  <si>
    <t xml:space="preserve">Abies alba </t>
  </si>
  <si>
    <t xml:space="preserve">https://www.wood-database.com/european-silver-fir/</t>
  </si>
  <si>
    <t xml:space="preserve">https://en.wikipedia.org/wiki/Abies_alba</t>
  </si>
  <si>
    <t xml:space="preserve">European yew </t>
  </si>
  <si>
    <t xml:space="preserve">European Yew</t>
  </si>
  <si>
    <t xml:space="preserve">taxus-baccata.jpg</t>
  </si>
  <si>
    <t xml:space="preserve">common yew, English yew, Taxus baccata</t>
  </si>
  <si>
    <t xml:space="preserve">https://www.wood-database.com/european-yew/</t>
  </si>
  <si>
    <t xml:space="preserve">https://en.wikipedia.org/wiki/Taxus_baccata</t>
  </si>
  <si>
    <t xml:space="preserve">Field maple</t>
  </si>
  <si>
    <t xml:space="preserve">Field Maple (violins)</t>
  </si>
  <si>
    <t xml:space="preserve">acer-campestre.jpg</t>
  </si>
  <si>
    <t xml:space="preserve">hedge maple, Acer campestre</t>
  </si>
  <si>
    <t xml:space="preserve">https://www.wood-database.com/field-maple/</t>
  </si>
  <si>
    <t xml:space="preserve">https://en.wikipedia.org/wiki/Acer_campestre</t>
  </si>
  <si>
    <t xml:space="preserve">Freijo </t>
  </si>
  <si>
    <t xml:space="preserve">Freijo</t>
  </si>
  <si>
    <t xml:space="preserve">cordia-goeldiana.jpg</t>
  </si>
  <si>
    <t xml:space="preserve">jenny wood, Cordia goeldiana</t>
  </si>
  <si>
    <t xml:space="preserve">https://www.wood-database.com/freijo/</t>
  </si>
  <si>
    <t xml:space="preserve">Gaboon Ebony </t>
  </si>
  <si>
    <t xml:space="preserve">Gaboon Ebony</t>
  </si>
  <si>
    <t xml:space="preserve">gaboon-ebony.jpg</t>
  </si>
  <si>
    <t xml:space="preserve">African Ebony, Nigerian Ebony, Cameroon Ebony, Diospyros crassiflora</t>
  </si>
  <si>
    <t xml:space="preserve">https://www.wood-database.com/gaboon-ebony/</t>
  </si>
  <si>
    <t xml:space="preserve">https://en.wikipedia.org/wiki/Diospyros_crassiflora</t>
  </si>
  <si>
    <t xml:space="preserve">Giant sequoia </t>
  </si>
  <si>
    <t xml:space="preserve">Giant sequoia</t>
  </si>
  <si>
    <t xml:space="preserve">sequoiadendron-giganteum.jpg</t>
  </si>
  <si>
    <t xml:space="preserve">giant redwood, sierra redwood, wellingtonia, Sequoiadendron giganteum</t>
  </si>
  <si>
    <t xml:space="preserve">https://www.wood-database.com/giant-sequoia/</t>
  </si>
  <si>
    <t xml:space="preserve">https://en.wikipedia.org/wiki/Sequoiadendron_giganteum</t>
  </si>
  <si>
    <t xml:space="preserve">Gidgee </t>
  </si>
  <si>
    <t xml:space="preserve">Gidgee</t>
  </si>
  <si>
    <t xml:space="preserve">acacia-cambagei-1.jpg</t>
  </si>
  <si>
    <t xml:space="preserve">stinking wattle, purple gidgee, Acacia cambagei</t>
  </si>
  <si>
    <t xml:space="preserve">https://www.wood-database.com/gidgee/</t>
  </si>
  <si>
    <t xml:space="preserve">https://en.wikipedia.org/wiki/Acacia_cambagei</t>
  </si>
  <si>
    <t xml:space="preserve">Goncalo alves </t>
  </si>
  <si>
    <t xml:space="preserve">Gonçalo Alves</t>
  </si>
  <si>
    <t xml:space="preserve">astronium-spp.jpg</t>
  </si>
  <si>
    <t xml:space="preserve">tigerwood, jobillo, muiracatiara, Astronium spp, Astronium fraxinifolium, Astronium graveolens</t>
  </si>
  <si>
    <t xml:space="preserve">https://www.wood-database.com/goncalo-alves/</t>
  </si>
  <si>
    <t xml:space="preserve">https://en.wikipedia.org/wiki/Astronium_fraxinifolium</t>
  </si>
  <si>
    <t xml:space="preserve">Gowen Cypress </t>
  </si>
  <si>
    <t xml:space="preserve">Gowen Cypress</t>
  </si>
  <si>
    <t xml:space="preserve">monterey-cypress.jpg</t>
  </si>
  <si>
    <t xml:space="preserve">Cupressus goveniana </t>
  </si>
  <si>
    <t xml:space="preserve">https://www.wood-database.com/gowen-cypress/</t>
  </si>
  <si>
    <t xml:space="preserve">https://en.wikipedia.org/wiki/Hesperocyparis_goveniana</t>
  </si>
  <si>
    <t xml:space="preserve">Grand fir </t>
  </si>
  <si>
    <t xml:space="preserve">Grand Fir</t>
  </si>
  <si>
    <t xml:space="preserve">abies-grandis.jpg</t>
  </si>
  <si>
    <t xml:space="preserve">Abies grandis </t>
  </si>
  <si>
    <t xml:space="preserve">https://www.wood-database.com/grand-fir/</t>
  </si>
  <si>
    <t xml:space="preserve">https://en.wikipedia.org/wiki/Abies_grandis</t>
  </si>
  <si>
    <t xml:space="preserve">Green Ash </t>
  </si>
  <si>
    <t xml:space="preserve">Green Ash</t>
  </si>
  <si>
    <t xml:space="preserve">green-ash.jpg</t>
  </si>
  <si>
    <t xml:space="preserve">Fraxinus pennsylvanica </t>
  </si>
  <si>
    <t xml:space="preserve">https://www.wood-database.com/green-ash/</t>
  </si>
  <si>
    <t xml:space="preserve">https://en.wikipedia.org/wiki/Fraxinus_pennsylvanica</t>
  </si>
  <si>
    <t xml:space="preserve">Greenheart </t>
  </si>
  <si>
    <t xml:space="preserve">Greenheart</t>
  </si>
  <si>
    <t xml:space="preserve">chlorocardium-rodiei.jpg</t>
  </si>
  <si>
    <t xml:space="preserve">Chlorocardium rodiei </t>
  </si>
  <si>
    <t xml:space="preserve">https://www.wood-database.com/greenheart/</t>
  </si>
  <si>
    <t xml:space="preserve">https://en.wikipedia.org/wiki/Chlorocardium_rodiei</t>
  </si>
  <si>
    <t xml:space="preserve">Hackberry </t>
  </si>
  <si>
    <t xml:space="preserve">Hackberry</t>
  </si>
  <si>
    <t xml:space="preserve">hackberry.jpg</t>
  </si>
  <si>
    <t xml:space="preserve">Sugarberry, Celtis occidentalis, Celtis laevigata</t>
  </si>
  <si>
    <t xml:space="preserve">https://www.wood-database.com/hackberry/</t>
  </si>
  <si>
    <t xml:space="preserve">https://en.wikipedia.org/wiki/Celtis_occidentalis</t>
  </si>
  <si>
    <t xml:space="preserve">Hard maple</t>
  </si>
  <si>
    <t xml:space="preserve">Hard Maple (Sugar, Rock)</t>
  </si>
  <si>
    <t xml:space="preserve">acer-saccharum.jpg</t>
  </si>
  <si>
    <t xml:space="preserve">sugar maple, rock maple, Acer saccharum</t>
  </si>
  <si>
    <t xml:space="preserve">https://www.wood-database.com/hard-maple/</t>
  </si>
  <si>
    <t xml:space="preserve">https://en.wikipedia.org/wiki/Acer_saccharum</t>
  </si>
  <si>
    <t xml:space="preserve">Holly </t>
  </si>
  <si>
    <t xml:space="preserve">Holly</t>
  </si>
  <si>
    <t xml:space="preserve">holly.jpg</t>
  </si>
  <si>
    <t xml:space="preserve">American Holly, Ilex opaca</t>
  </si>
  <si>
    <t xml:space="preserve">https://www.wood-database.com/holly/</t>
  </si>
  <si>
    <t xml:space="preserve">https://en.wikipedia.org/wiki/Ilex_opaca</t>
  </si>
  <si>
    <t xml:space="preserve">Honduran mahogany </t>
  </si>
  <si>
    <t xml:space="preserve">Honduran Mahogany</t>
  </si>
  <si>
    <t xml:space="preserve">swietenia-macrophylla-fs.jpg</t>
  </si>
  <si>
    <t xml:space="preserve">genuine mahogany, big-leaf mahogany, Brazilian mahogany, American mahogany, Swietenia macrophylla</t>
  </si>
  <si>
    <t xml:space="preserve">https://www.wood-database.com/honduran-mahogany/</t>
  </si>
  <si>
    <t xml:space="preserve">https://en.wikipedia.org/wiki/Swietenia_macrophylla</t>
  </si>
  <si>
    <t xml:space="preserve">Honduran rosewood </t>
  </si>
  <si>
    <t xml:space="preserve">Honduran Rosewood</t>
  </si>
  <si>
    <t xml:space="preserve">dalbergia-stevensonii.jpg</t>
  </si>
  <si>
    <t xml:space="preserve">Honduras rosewood, Dalbergia stevensonii</t>
  </si>
  <si>
    <t xml:space="preserve">https://www.wood-database.com/honduran-rosewood/</t>
  </si>
  <si>
    <t xml:space="preserve">https://en.wikipedia.org/wiki/Dalbergia_stevensonii</t>
  </si>
  <si>
    <t xml:space="preserve">Honey Mesquite </t>
  </si>
  <si>
    <t xml:space="preserve">Honey Mesquite</t>
  </si>
  <si>
    <t xml:space="preserve">honey-mesquite.jpg</t>
  </si>
  <si>
    <t xml:space="preserve">Prosopis glandulosa </t>
  </si>
  <si>
    <t xml:space="preserve">https://www.wood-database.com/honey-mesquite/</t>
  </si>
  <si>
    <t xml:space="preserve">https://en.wikipedia.org/wiki/Neltuma_glandulosa</t>
  </si>
  <si>
    <t xml:space="preserve">Imbuia </t>
  </si>
  <si>
    <t xml:space="preserve">Imbuia</t>
  </si>
  <si>
    <t xml:space="preserve">imbuya.jpg</t>
  </si>
  <si>
    <t xml:space="preserve">Imbuya, Embuya, Brazilian Walnut, Ocotea porosa, Phoebe porosa</t>
  </si>
  <si>
    <t xml:space="preserve">https://www.wood-database.com/imbuia/</t>
  </si>
  <si>
    <t xml:space="preserve">https://en.wikipedia.org/wiki/Ocotea_porosa</t>
  </si>
  <si>
    <t xml:space="preserve">Incense Cedar </t>
  </si>
  <si>
    <t xml:space="preserve">Incense Cedar</t>
  </si>
  <si>
    <t xml:space="preserve">incense-cedar.jpg</t>
  </si>
  <si>
    <t xml:space="preserve">California White Cedar, Calocedrus decurrens, Libocedrus decurrens</t>
  </si>
  <si>
    <t xml:space="preserve">https://www.wood-database.com/incense-cedar/</t>
  </si>
  <si>
    <t xml:space="preserve">https://en.wikipedia.org/wiki/Calocedrus_decurrens</t>
  </si>
  <si>
    <t xml:space="preserve">Indian Laurel </t>
  </si>
  <si>
    <t xml:space="preserve">Indian Laurel</t>
  </si>
  <si>
    <t xml:space="preserve">indian-laurel-s.jpg</t>
  </si>
  <si>
    <t xml:space="preserve">Terminalia elliptica, Terminalia tomentosa </t>
  </si>
  <si>
    <t xml:space="preserve">https://www.wood-database.com/indian-laurel/</t>
  </si>
  <si>
    <t xml:space="preserve">https://en.wikipedia.org/wiki/Terminalia_elliptica</t>
  </si>
  <si>
    <t xml:space="preserve">Indian pulai </t>
  </si>
  <si>
    <t xml:space="preserve">Indian Pulai</t>
  </si>
  <si>
    <t xml:space="preserve">alstonia-scholaris.jpg</t>
  </si>
  <si>
    <t xml:space="preserve">white cheesewood, milky pine, blackboard tree, Alstonia scholaris</t>
  </si>
  <si>
    <t xml:space="preserve">https://www.wood-database.com/indian-pulai/</t>
  </si>
  <si>
    <t xml:space="preserve">https://en.wikipedia.org/wiki/Alstonia_scholaris</t>
  </si>
  <si>
    <t xml:space="preserve">Ipe </t>
  </si>
  <si>
    <t xml:space="preserve">Ipê</t>
  </si>
  <si>
    <t xml:space="preserve">handroanthus-serratifolius.jpg</t>
  </si>
  <si>
    <t xml:space="preserve">lapacho, Brazilian walnut, Handroanthus serratifolius</t>
  </si>
  <si>
    <t xml:space="preserve">https://www.wood-database.com/ipe/</t>
  </si>
  <si>
    <t xml:space="preserve">https://en.wikipedia.org/wiki/Handroanthus</t>
  </si>
  <si>
    <t xml:space="preserve">Iroko </t>
  </si>
  <si>
    <t xml:space="preserve">Iroko</t>
  </si>
  <si>
    <t xml:space="preserve">milicia-excelsa.jpg</t>
  </si>
  <si>
    <t xml:space="preserve">African teak, Milicia excelsa, Milicia regia</t>
  </si>
  <si>
    <t xml:space="preserve">https://www.wood-database.com/iroko/</t>
  </si>
  <si>
    <t xml:space="preserve">https://en.wikipedia.org/wiki/Iroko</t>
  </si>
  <si>
    <t xml:space="preserve">Jarrah </t>
  </si>
  <si>
    <t xml:space="preserve">Jarrah (eucalyptus)</t>
  </si>
  <si>
    <t xml:space="preserve">jarrah-s.jpg</t>
  </si>
  <si>
    <t xml:space="preserve">Eucalyptus marginata </t>
  </si>
  <si>
    <t xml:space="preserve">https://www.wood-database.com/jarrah/</t>
  </si>
  <si>
    <t xml:space="preserve">https://en.wikipedia.org/wiki/Eucalyptus_marginata</t>
  </si>
  <si>
    <t xml:space="preserve">Jatoba </t>
  </si>
  <si>
    <t xml:space="preserve">Jatobá</t>
  </si>
  <si>
    <t xml:space="preserve">jatoba.jpg</t>
  </si>
  <si>
    <t xml:space="preserve">Brazilian Cherry, Hymenaea courbaril</t>
  </si>
  <si>
    <t xml:space="preserve">https://www.wood-database.com/jatoba/</t>
  </si>
  <si>
    <t xml:space="preserve">https://en.wikipedia.org/wiki/Hymenaea_courbaril</t>
  </si>
  <si>
    <t xml:space="preserve">Katalox </t>
  </si>
  <si>
    <t xml:space="preserve">Katalox
(Mexican not Ebony)</t>
  </si>
  <si>
    <t xml:space="preserve">swartzia-cubensis.jpg</t>
  </si>
  <si>
    <t xml:space="preserve">Mexican ebony, Swartzia cubensis</t>
  </si>
  <si>
    <t xml:space="preserve">https://www.wood-database.com/katalox/</t>
  </si>
  <si>
    <t xml:space="preserve">https://en.wikipedia.org/wiki/Swartzia</t>
  </si>
  <si>
    <t xml:space="preserve">Keruing </t>
  </si>
  <si>
    <t xml:space="preserve">Keruing (Apitong)</t>
  </si>
  <si>
    <t xml:space="preserve">keruing.jpg</t>
  </si>
  <si>
    <t xml:space="preserve">Apitong, Dipterocarpus spp</t>
  </si>
  <si>
    <t xml:space="preserve">https://www.wood-database.com/keruing/</t>
  </si>
  <si>
    <t xml:space="preserve">https://en.wikipedia.org/wiki/Dipterocarpus</t>
  </si>
  <si>
    <t xml:space="preserve">Kingwood </t>
  </si>
  <si>
    <t xml:space="preserve">Kingwood (Rosewood)</t>
  </si>
  <si>
    <t xml:space="preserve">dalbergia-cearensis-fs.jpg</t>
  </si>
  <si>
    <t xml:space="preserve">violetta, Dalbergia cearensis</t>
  </si>
  <si>
    <t xml:space="preserve">https://www.wood-database.com/kingwood/</t>
  </si>
  <si>
    <t xml:space="preserve">https://en.wikipedia.org/wiki/Dalbergia_cearensis</t>
  </si>
  <si>
    <t xml:space="preserve">Koa </t>
  </si>
  <si>
    <t xml:space="preserve">Koa (Acacia)</t>
  </si>
  <si>
    <t xml:space="preserve">acacia-koa-curly.jpg</t>
  </si>
  <si>
    <t xml:space="preserve">Hawaiian koa, Acacia koa</t>
  </si>
  <si>
    <t xml:space="preserve">https://www.wood-database.com/koa/</t>
  </si>
  <si>
    <t xml:space="preserve">https://en.wikipedia.org/wiki/Acacia_koa</t>
  </si>
  <si>
    <t xml:space="preserve">Lacewood </t>
  </si>
  <si>
    <t xml:space="preserve">Lacewood</t>
  </si>
  <si>
    <t xml:space="preserve">brazilian-lacewood.jpg</t>
  </si>
  <si>
    <t xml:space="preserve">Brazilian Lacewood, South American Lacewood, Panopsis spp, Panopsis rubescens, Panopsis sessilifolia</t>
  </si>
  <si>
    <t xml:space="preserve">https://www.wood-database.com/lacewood/</t>
  </si>
  <si>
    <t xml:space="preserve">https://en.wikipedia.org/wiki/Panopsis</t>
  </si>
  <si>
    <t xml:space="preserve">Leopardwood </t>
  </si>
  <si>
    <t xml:space="preserve">Leopardwood</t>
  </si>
  <si>
    <t xml:space="preserve">leopardwood.jpg</t>
  </si>
  <si>
    <t xml:space="preserve">Roupala montana, Roupala brasiliense </t>
  </si>
  <si>
    <t xml:space="preserve">https://www.wood-database.com/leopardwood/</t>
  </si>
  <si>
    <t xml:space="preserve">https://en.wikipedia.org/wiki/Roupala_montana</t>
  </si>
  <si>
    <t xml:space="preserve">Leyland Cypress </t>
  </si>
  <si>
    <t xml:space="preserve">Leyland Cypress</t>
  </si>
  <si>
    <t xml:space="preserve">leyland-cypress.jpg</t>
  </si>
  <si>
    <t xml:space="preserve">Cupressus x leylandii </t>
  </si>
  <si>
    <t xml:space="preserve">https://www.wood-database.com/leyland-cypress/</t>
  </si>
  <si>
    <t xml:space="preserve">https://en.wikipedia.org/wiki/Leyland_cypress</t>
  </si>
  <si>
    <t xml:space="preserve">Lignum vitae </t>
  </si>
  <si>
    <t xml:space="preserve">Lignum Vitae</t>
  </si>
  <si>
    <t xml:space="preserve">guaiacum-officinale-e1633971389881.jpg</t>
  </si>
  <si>
    <t xml:space="preserve">palo santo, guayacan, holywood, genuine lignum vitae, Guaiacum officinale, Guaiacum sanctum</t>
  </si>
  <si>
    <t xml:space="preserve">https://www.wood-database.com/lignum-vitae/</t>
  </si>
  <si>
    <t xml:space="preserve">https://en.wikipedia.org/wiki/Guaiacum_officinale</t>
  </si>
  <si>
    <t xml:space="preserve">Limba </t>
  </si>
  <si>
    <t xml:space="preserve">Limba (Korina)</t>
  </si>
  <si>
    <t xml:space="preserve">terminalia-superba-black.jpg</t>
  </si>
  <si>
    <t xml:space="preserve">korina, afara, black limba, white limba, Terminalia superba</t>
  </si>
  <si>
    <t xml:space="preserve">https://www.wood-database.com/limba/</t>
  </si>
  <si>
    <t xml:space="preserve">https://en.wikipedia.org/wiki/Terminalia_superba</t>
  </si>
  <si>
    <t xml:space="preserve">Live Oak </t>
  </si>
  <si>
    <t xml:space="preserve">Live Oak</t>
  </si>
  <si>
    <t xml:space="preserve">live-oak.jpg</t>
  </si>
  <si>
    <t xml:space="preserve">Southern Live Oak, Quercus virginiana</t>
  </si>
  <si>
    <t xml:space="preserve">https://www.wood-database.com/live-oak/</t>
  </si>
  <si>
    <t xml:space="preserve">https://en.wikipedia.org/wiki/Quercus_virginiana</t>
  </si>
  <si>
    <t xml:space="preserve">Loblolly Pine </t>
  </si>
  <si>
    <t xml:space="preserve">Loblolly Pine</t>
  </si>
  <si>
    <t xml:space="preserve">loblolly-pine.jpg</t>
  </si>
  <si>
    <t xml:space="preserve">Pinus taeda </t>
  </si>
  <si>
    <t xml:space="preserve">https://www.wood-database.com/loblolly-pine/</t>
  </si>
  <si>
    <t xml:space="preserve">https://en.wikipedia.org/wiki/Pinus_taeda</t>
  </si>
  <si>
    <t xml:space="preserve">Lodgepole Pine </t>
  </si>
  <si>
    <t xml:space="preserve">Lodgepole Pine</t>
  </si>
  <si>
    <t xml:space="preserve">lodgepole-pine-2.jpg</t>
  </si>
  <si>
    <t xml:space="preserve">Shore Pine, Pinus contorta</t>
  </si>
  <si>
    <t xml:space="preserve">https://www.wood-database.com/lodgepole-pine/</t>
  </si>
  <si>
    <t xml:space="preserve">https://en.wikipedia.org/wiki/Pinus_contorta</t>
  </si>
  <si>
    <t xml:space="preserve">Longleaf Pine </t>
  </si>
  <si>
    <t xml:space="preserve">Longleaf Pine</t>
  </si>
  <si>
    <t xml:space="preserve">longleaf-pine.jpg</t>
  </si>
  <si>
    <t xml:space="preserve">Pinus palustris </t>
  </si>
  <si>
    <t xml:space="preserve">https://www.wood-database.com/longleaf-pine/</t>
  </si>
  <si>
    <t xml:space="preserve">https://en.wikipedia.org/wiki/Longleaf_pine</t>
  </si>
  <si>
    <t xml:space="preserve">Macacauba </t>
  </si>
  <si>
    <t xml:space="preserve">Macacauba (Hormigo, Granadillo)</t>
  </si>
  <si>
    <t xml:space="preserve">orange-agate.jpg</t>
  </si>
  <si>
    <t xml:space="preserve">Macawood, Hormigo, Orange Agate, Platymiscium spp, Platymiscium dimorphandrum, Platymiscium pinnatum, Platymiscium trinitatis, Platymiscium ulei</t>
  </si>
  <si>
    <t xml:space="preserve">https://www.wood-database.com/macacauba/</t>
  </si>
  <si>
    <t xml:space="preserve">https://en.wikipedia.org/wiki/Platymiscium</t>
  </si>
  <si>
    <t xml:space="preserve">Macassar Ebony </t>
  </si>
  <si>
    <t xml:space="preserve">Macassar Ebony</t>
  </si>
  <si>
    <t xml:space="preserve">macassar-ebony.jpg</t>
  </si>
  <si>
    <t xml:space="preserve">Striped Ebony, Amara Ebony, Diospyros celebica</t>
  </si>
  <si>
    <t xml:space="preserve">https://www.wood-database.com/macassar-ebony/</t>
  </si>
  <si>
    <t xml:space="preserve">https://en.wikipedia.org/wiki/Diospyros_celebica</t>
  </si>
  <si>
    <t xml:space="preserve">Madagascar Rosewood </t>
  </si>
  <si>
    <t xml:space="preserve">Madagascar Rosewood</t>
  </si>
  <si>
    <t xml:space="preserve">madagascar-rosewood-s.jpg</t>
  </si>
  <si>
    <t xml:space="preserve">Palisander, Dalbergia spp, Dalbergia baronii, Dalbergia greveana, Dalbergia madagascariensis, Dalbergia monticola</t>
  </si>
  <si>
    <t xml:space="preserve">https://www.wood-database.com/madagascar-rosewood/</t>
  </si>
  <si>
    <t xml:space="preserve">https://en.wikipedia.org/wiki/Dalbergia_baronii</t>
  </si>
  <si>
    <t xml:space="preserve">Madrone</t>
  </si>
  <si>
    <t xml:space="preserve">madrone.jpg</t>
  </si>
  <si>
    <t xml:space="preserve">Pacific Madrone, Arbutus menziesii</t>
  </si>
  <si>
    <t xml:space="preserve">https://www.wood-database.com/madrone/</t>
  </si>
  <si>
    <t xml:space="preserve">https://en.wikipedia.org/wiki/Arbutus_menziesii</t>
  </si>
  <si>
    <t xml:space="preserve">Makore </t>
  </si>
  <si>
    <t xml:space="preserve">Makore</t>
  </si>
  <si>
    <t xml:space="preserve">tieghemella-heckelii.jpg</t>
  </si>
  <si>
    <t xml:space="preserve">douka, cherry mahogany, Tieghemella heckelii, Tieghemella africana</t>
  </si>
  <si>
    <t xml:space="preserve">https://www.wood-database.com/makore/</t>
  </si>
  <si>
    <t xml:space="preserve">https://en.wikipedia.org/wiki/Tieghemella_heckelii</t>
  </si>
  <si>
    <t xml:space="preserve">Malaysian Blackwood </t>
  </si>
  <si>
    <t xml:space="preserve">Malaysian Blackwood (Ebony)</t>
  </si>
  <si>
    <t xml:space="preserve">malaysian-blackwood.jpg</t>
  </si>
  <si>
    <t xml:space="preserve">Diospyros ebonasea </t>
  </si>
  <si>
    <t xml:space="preserve">https://www.wood-database.com/malaysian-blackwood/</t>
  </si>
  <si>
    <t xml:space="preserve">Mediterranean Cypress </t>
  </si>
  <si>
    <t xml:space="preserve">Mediterranean Cypress</t>
  </si>
  <si>
    <t xml:space="preserve">Italian Cypress, Cupressus sempervirens</t>
  </si>
  <si>
    <t xml:space="preserve">https://www.wood-database.com/mediterranean-cypress/</t>
  </si>
  <si>
    <t xml:space="preserve">https://en.wikipedia.org/wiki/Cupressus_sempervirens</t>
  </si>
  <si>
    <t xml:space="preserve">Mexican Cypress </t>
  </si>
  <si>
    <t xml:space="preserve">Mexican Cypress</t>
  </si>
  <si>
    <t xml:space="preserve">mexican-cypress.jpg</t>
  </si>
  <si>
    <t xml:space="preserve">Cedar of Goa, Cupressus lusitanica</t>
  </si>
  <si>
    <t xml:space="preserve">https://www.wood-database.com/mexican-cypress/</t>
  </si>
  <si>
    <t xml:space="preserve">https://en.wikipedia.org/wiki/Hesperocyparis_lusitanica</t>
  </si>
  <si>
    <t xml:space="preserve">Monkeypod </t>
  </si>
  <si>
    <t xml:space="preserve">Monkeypod</t>
  </si>
  <si>
    <t xml:space="preserve">monkeypod.jpg</t>
  </si>
  <si>
    <t xml:space="preserve">Monkey Pod, Raintree, Albizia saman</t>
  </si>
  <si>
    <t xml:space="preserve">https://www.wood-database.com/monkeypod/</t>
  </si>
  <si>
    <t xml:space="preserve">https://en.wikipedia.org/wiki/Samanea_saman</t>
  </si>
  <si>
    <t xml:space="preserve">Monterey Cypress </t>
  </si>
  <si>
    <t xml:space="preserve">Monterey Cypress</t>
  </si>
  <si>
    <t xml:space="preserve">monterey-cypress-wt.jpg</t>
  </si>
  <si>
    <t xml:space="preserve">Cupressus macrocarpa </t>
  </si>
  <si>
    <t xml:space="preserve">https://www.wood-database.com/monterey-cypress/</t>
  </si>
  <si>
    <t xml:space="preserve">https://en.wikipedia.org/wiki/Cupressus_macrocarpa</t>
  </si>
  <si>
    <t xml:space="preserve">Mopane </t>
  </si>
  <si>
    <t xml:space="preserve">Mopane</t>
  </si>
  <si>
    <t xml:space="preserve">mopane-copy.jpg</t>
  </si>
  <si>
    <t xml:space="preserve">Mopani, Colophospermum mopane</t>
  </si>
  <si>
    <t xml:space="preserve">https://www.wood-database.com/mopane/</t>
  </si>
  <si>
    <t xml:space="preserve">https://en.wikipedia.org/wiki/Mopane</t>
  </si>
  <si>
    <t xml:space="preserve">Mora </t>
  </si>
  <si>
    <t xml:space="preserve">Mora (Nato)</t>
  </si>
  <si>
    <t xml:space="preserve">mora-excelsa.jpg</t>
  </si>
  <si>
    <t xml:space="preserve">Mora excelsa, Mora gonggrijpii</t>
  </si>
  <si>
    <t xml:space="preserve">https://www.wood-database.com/mora/</t>
  </si>
  <si>
    <t xml:space="preserve">https://en.wikipedia.org/wiki/Nato_wood</t>
  </si>
  <si>
    <t xml:space="preserve">Mutenye</t>
  </si>
  <si>
    <t xml:space="preserve">Mutenyé</t>
  </si>
  <si>
    <t xml:space="preserve">guibourtia-arnoldiana.jpg</t>
  </si>
  <si>
    <t xml:space="preserve">benge, Guibourtia arnoldiana</t>
  </si>
  <si>
    <t xml:space="preserve">https://www.wood-database.com/mutenye/</t>
  </si>
  <si>
    <t xml:space="preserve">https://en.wikipedia.org/wiki/Guibourtia_arnoldiana</t>
  </si>
  <si>
    <t xml:space="preserve">Narra </t>
  </si>
  <si>
    <t xml:space="preserve">Narra</t>
  </si>
  <si>
    <t xml:space="preserve">narra-3.jpg</t>
  </si>
  <si>
    <t xml:space="preserve">Amboyna (burl), Pterocarpus indicus</t>
  </si>
  <si>
    <t xml:space="preserve">https://www.wood-database.com/narra/</t>
  </si>
  <si>
    <t xml:space="preserve">https://en.wikipedia.org/wiki/Pterocarpus_indicus</t>
  </si>
  <si>
    <t xml:space="preserve">New Zealand kauri </t>
  </si>
  <si>
    <t xml:space="preserve">Kauri (Agathis)</t>
  </si>
  <si>
    <t xml:space="preserve">agathis-australis.jpg</t>
  </si>
  <si>
    <t xml:space="preserve">southern kauri, Agathis australis</t>
  </si>
  <si>
    <t xml:space="preserve">https://www.wood-database.com/new-zealand-kauri/</t>
  </si>
  <si>
    <t xml:space="preserve">https://en.wikipedia.org/wiki/Agathis_australis</t>
  </si>
  <si>
    <t xml:space="preserve">Noble fir </t>
  </si>
  <si>
    <t xml:space="preserve">Noble fir</t>
  </si>
  <si>
    <t xml:space="preserve">abies-procera.jpg</t>
  </si>
  <si>
    <t xml:space="preserve">Abies procera </t>
  </si>
  <si>
    <t xml:space="preserve">https://www.wood-database.com/noble-fir/</t>
  </si>
  <si>
    <t xml:space="preserve">https://en.wikipedia.org/wiki/Abies_procera</t>
  </si>
  <si>
    <t xml:space="preserve">Northern Silky Oak </t>
  </si>
  <si>
    <t xml:space="preserve">Northern Silky Oak</t>
  </si>
  <si>
    <t xml:space="preserve">silky-oak-s.jpg</t>
  </si>
  <si>
    <t xml:space="preserve">Australian Lacewood, Cardwellia sublimis</t>
  </si>
  <si>
    <t xml:space="preserve">https://www.wood-database.com/northern-silky-oak/</t>
  </si>
  <si>
    <t xml:space="preserve">https://en.wikipedia.org/wiki/Cardwellia</t>
  </si>
  <si>
    <t xml:space="preserve">Northern white cedar </t>
  </si>
  <si>
    <t xml:space="preserve">Northern White Cedar</t>
  </si>
  <si>
    <t xml:space="preserve">thuja-occidentalis.jpg</t>
  </si>
  <si>
    <t xml:space="preserve">eastern arborvitae, Thuja occidentalis</t>
  </si>
  <si>
    <t xml:space="preserve">https://www.wood-database.com/northern-white-cedar/</t>
  </si>
  <si>
    <t xml:space="preserve">https://en.wikipedia.org/wiki/Thuja_occidentalis</t>
  </si>
  <si>
    <t xml:space="preserve">Norway maple </t>
  </si>
  <si>
    <t xml:space="preserve">Norway Maple (violins)</t>
  </si>
  <si>
    <t xml:space="preserve">acer-platanoides.jpg</t>
  </si>
  <si>
    <t xml:space="preserve">Acer platanoides </t>
  </si>
  <si>
    <t xml:space="preserve">https://www.wood-database.com/norway-maple/</t>
  </si>
  <si>
    <t xml:space="preserve">https://en.wikipedia.org/wiki/Acer_platanoides</t>
  </si>
  <si>
    <t xml:space="preserve">Norway Spruce </t>
  </si>
  <si>
    <t xml:space="preserve">Norway Spruce (violins)</t>
  </si>
  <si>
    <t xml:space="preserve">norway-spruce.jpg</t>
  </si>
  <si>
    <t xml:space="preserve">European Spruce, German Spruce, Picea abies</t>
  </si>
  <si>
    <t xml:space="preserve">https://www.wood-database.com/norway-spruce/</t>
  </si>
  <si>
    <t xml:space="preserve">https://en.wikipedia.org/wiki/Picea_abies</t>
  </si>
  <si>
    <t xml:space="preserve">Nyatoh </t>
  </si>
  <si>
    <t xml:space="preserve">Nyatoh</t>
  </si>
  <si>
    <t xml:space="preserve">nyatoh.jpg</t>
  </si>
  <si>
    <t xml:space="preserve">Palaquium spp, Payena spp </t>
  </si>
  <si>
    <t xml:space="preserve">https://www.wood-database.com/nyatoh/</t>
  </si>
  <si>
    <t xml:space="preserve">https://en.wikipedia.org/wiki/Nyatoh</t>
  </si>
  <si>
    <t xml:space="preserve">Obeche </t>
  </si>
  <si>
    <t xml:space="preserve">Obeche</t>
  </si>
  <si>
    <t xml:space="preserve">triplochiton-scleroxylon.jpg</t>
  </si>
  <si>
    <t xml:space="preserve">ayous, samba, wawa, African whitewood, Triplochiton scleroxylon</t>
  </si>
  <si>
    <t xml:space="preserve">https://www.wood-database.com/obeche/</t>
  </si>
  <si>
    <t xml:space="preserve">https://en.wikipedia.org/wiki/Triplochiton_scleroxylon</t>
  </si>
  <si>
    <t xml:space="preserve">Okoume </t>
  </si>
  <si>
    <t xml:space="preserve">Okoumé</t>
  </si>
  <si>
    <t xml:space="preserve">aucoumea-klaineana.jpg</t>
  </si>
  <si>
    <t xml:space="preserve">gabon, Aucoumea klaineana</t>
  </si>
  <si>
    <t xml:space="preserve">https://www.wood-database.com/okoume/</t>
  </si>
  <si>
    <t xml:space="preserve">https://en.wikipedia.org/wiki/Aucoumea_klaineana</t>
  </si>
  <si>
    <t xml:space="preserve">Oregon Ash </t>
  </si>
  <si>
    <t xml:space="preserve">Oregon Ash</t>
  </si>
  <si>
    <t xml:space="preserve">oregon-ash.jpg</t>
  </si>
  <si>
    <t xml:space="preserve">Fraxinus latifolia </t>
  </si>
  <si>
    <t xml:space="preserve">https://www.wood-database.com/oregon-ash/</t>
  </si>
  <si>
    <t xml:space="preserve">https://en.wikipedia.org/wiki/Fraxinus_latifolia</t>
  </si>
  <si>
    <t xml:space="preserve">Oregon myrtle</t>
  </si>
  <si>
    <t xml:space="preserve">Oregon Myrtle</t>
  </si>
  <si>
    <t xml:space="preserve">myrtle-wt.jpg</t>
  </si>
  <si>
    <t xml:space="preserve">California Bay Laurel, Pepperwood, Myrtlewood, Umbellularia californica</t>
  </si>
  <si>
    <t xml:space="preserve">https://www.wood-database.com/oregon-myrtle/</t>
  </si>
  <si>
    <t xml:space="preserve">https://en.wikipedia.org/wiki/Umbellularia</t>
  </si>
  <si>
    <t xml:space="preserve">Oregon White Oak </t>
  </si>
  <si>
    <t xml:space="preserve">Oregon White Oak</t>
  </si>
  <si>
    <t xml:space="preserve">oregon-white-oak.jpg</t>
  </si>
  <si>
    <t xml:space="preserve">Quercus garryana </t>
  </si>
  <si>
    <t xml:space="preserve">https://www.wood-database.com/oregon-white-oak/</t>
  </si>
  <si>
    <t xml:space="preserve">https://en.wikipedia.org/wiki/Quercus_garryana</t>
  </si>
  <si>
    <t xml:space="preserve">Osage Orange </t>
  </si>
  <si>
    <t xml:space="preserve">Osage Orange</t>
  </si>
  <si>
    <t xml:space="preserve">osage-orange.jpg</t>
  </si>
  <si>
    <t xml:space="preserve">Horse Apple, Hedge Apple, Bois d’arc, Maclura pomifera</t>
  </si>
  <si>
    <t xml:space="preserve">https://www.wood-database.com/osage-orange/</t>
  </si>
  <si>
    <t xml:space="preserve">https://en.wikipedia.org/wiki/Maclura_pomifera</t>
  </si>
  <si>
    <t xml:space="preserve">Ovangkol </t>
  </si>
  <si>
    <t xml:space="preserve">Ovangkol (Shedua, Amazique)</t>
  </si>
  <si>
    <t xml:space="preserve">ovangkol.jpg</t>
  </si>
  <si>
    <t xml:space="preserve">Amazique, Amazoue, Mozambique, Shedua, Guibourtia ehie</t>
  </si>
  <si>
    <t xml:space="preserve">https://www.wood-database.com/ovangkol/</t>
  </si>
  <si>
    <t xml:space="preserve">https://en.wikipedia.org/wiki/Guibourtia_ehie</t>
  </si>
  <si>
    <t xml:space="preserve">Pacific silver fir </t>
  </si>
  <si>
    <t xml:space="preserve">Pacific Silver Fir</t>
  </si>
  <si>
    <t xml:space="preserve">abies-amabilis.jpg</t>
  </si>
  <si>
    <t xml:space="preserve">Abies amabilis </t>
  </si>
  <si>
    <t xml:space="preserve">https://www.wood-database.com/pacific-silver-fir/</t>
  </si>
  <si>
    <t xml:space="preserve">https://en.wikipedia.org/wiki/Abies_amabilis</t>
  </si>
  <si>
    <t xml:space="preserve">Pacific Yew </t>
  </si>
  <si>
    <t xml:space="preserve">Pacific Yew</t>
  </si>
  <si>
    <t xml:space="preserve">pacific-yew.jpg</t>
  </si>
  <si>
    <t xml:space="preserve">Oregon Yew, Taxus brevifolia</t>
  </si>
  <si>
    <t xml:space="preserve">https://www.wood-database.com/pacific-yew/</t>
  </si>
  <si>
    <t xml:space="preserve">https://en.wikipedia.org/wiki/Taxus_brevifolia</t>
  </si>
  <si>
    <t xml:space="preserve">Panga Panga </t>
  </si>
  <si>
    <t xml:space="preserve">Panga Panga</t>
  </si>
  <si>
    <t xml:space="preserve">panga-panga.jpg</t>
  </si>
  <si>
    <t xml:space="preserve">Millettia stuhlmannii </t>
  </si>
  <si>
    <t xml:space="preserve">https://www.wood-database.com/panga-panga/</t>
  </si>
  <si>
    <t xml:space="preserve">https://en.wikipedia.org/wiki/Millettia_stuhlmannii</t>
  </si>
  <si>
    <t xml:space="preserve">Partridgewood </t>
  </si>
  <si>
    <t xml:space="preserve">Partridgewood</t>
  </si>
  <si>
    <t xml:space="preserve">andira-inermis.jpg</t>
  </si>
  <si>
    <t xml:space="preserve">angelim, cabbagebark, Andira inermis</t>
  </si>
  <si>
    <t xml:space="preserve">https://www.wood-database.com/partridgewood/</t>
  </si>
  <si>
    <t xml:space="preserve">https://en.wikipedia.org/wiki/Andira_inermis</t>
  </si>
  <si>
    <t xml:space="preserve">Pau ferro </t>
  </si>
  <si>
    <t xml:space="preserve">Pau Ferro (not rosewood)</t>
  </si>
  <si>
    <t xml:space="preserve">machaerium-scleroxylon.jpg</t>
  </si>
  <si>
    <t xml:space="preserve">morado, Bolivian rosewood, santos rosewood, caviuna, Machaerium spp, Machaerium scleroxylon</t>
  </si>
  <si>
    <t xml:space="preserve">https://www.wood-database.com/pau-ferro/</t>
  </si>
  <si>
    <t xml:space="preserve">https://en.wikipedia.org/wiki/Machaerium_scleroxylon</t>
  </si>
  <si>
    <t xml:space="preserve">Pau Rosa </t>
  </si>
  <si>
    <t xml:space="preserve">Pau Rosa</t>
  </si>
  <si>
    <t xml:space="preserve">pau-rosa-madagascarensis.jpg</t>
  </si>
  <si>
    <t xml:space="preserve">Bobgunnia fistuloides, Bobgunnia madagascariensis, Swartzia fistuloides, Swartzia madagascariensis</t>
  </si>
  <si>
    <t xml:space="preserve">https://www.wood-database.com/pau-rosa/</t>
  </si>
  <si>
    <t xml:space="preserve">https://en.wikipedia.org/wiki/Bobgunnia</t>
  </si>
  <si>
    <t xml:space="preserve">Pau Santo </t>
  </si>
  <si>
    <t xml:space="preserve">Pau Santo</t>
  </si>
  <si>
    <t xml:space="preserve">pau-santo-s.jpg</t>
  </si>
  <si>
    <t xml:space="preserve">Brazilian Blackheart, Zollernia spp</t>
  </si>
  <si>
    <t xml:space="preserve">https://www.wood-database.com/pau-santo/</t>
  </si>
  <si>
    <t xml:space="preserve">https://en.wikipedia.org/wiki/Zollernia</t>
  </si>
  <si>
    <t xml:space="preserve">Paulownia </t>
  </si>
  <si>
    <t xml:space="preserve">Paulownia</t>
  </si>
  <si>
    <t xml:space="preserve">royal-paulownia-gw.jpg</t>
  </si>
  <si>
    <t xml:space="preserve">Royal Paulownia, Princess Tree, Kiri, Paulownia tomentosa</t>
  </si>
  <si>
    <t xml:space="preserve">https://www.wood-database.com/paulownia/</t>
  </si>
  <si>
    <t xml:space="preserve">https://en.wikipedia.org/wiki/Paulownia_tomentosa</t>
  </si>
  <si>
    <t xml:space="preserve">Pear </t>
  </si>
  <si>
    <t xml:space="preserve">Pear</t>
  </si>
  <si>
    <t xml:space="preserve">swiss-pear.jpg</t>
  </si>
  <si>
    <t xml:space="preserve">Swiss Pear, Pyrus communis</t>
  </si>
  <si>
    <t xml:space="preserve">https://www.wood-database.com/pear/</t>
  </si>
  <si>
    <t xml:space="preserve">https://en.wikipedia.org/wiki/Pyrus_communis</t>
  </si>
  <si>
    <t xml:space="preserve">Pecan </t>
  </si>
  <si>
    <t xml:space="preserve">Pecan (Hickory)</t>
  </si>
  <si>
    <t xml:space="preserve">pecan.jpg</t>
  </si>
  <si>
    <t xml:space="preserve">Carya illinoinensis </t>
  </si>
  <si>
    <t xml:space="preserve">https://www.wood-database.com/pecan/</t>
  </si>
  <si>
    <t xml:space="preserve">https://en.wikipedia.org/wiki/Pecan</t>
  </si>
  <si>
    <t xml:space="preserve">Persimmon </t>
  </si>
  <si>
    <t xml:space="preserve">Persimmon (Ebony)</t>
  </si>
  <si>
    <t xml:space="preserve">persimmon-2.jpg</t>
  </si>
  <si>
    <t xml:space="preserve">White Ebony, Diospyros virginiana</t>
  </si>
  <si>
    <t xml:space="preserve">https://www.wood-database.com/persimmon/</t>
  </si>
  <si>
    <t xml:space="preserve">https://en.wikipedia.org/wiki/Diospyros_virginiana</t>
  </si>
  <si>
    <t xml:space="preserve">Peruvian Walnut </t>
  </si>
  <si>
    <t xml:space="preserve">Peruvian Walnut</t>
  </si>
  <si>
    <t xml:space="preserve">peruvian-walnut.jpg</t>
  </si>
  <si>
    <t xml:space="preserve">Tropical Walnut, Nogal, Juglans spp, Juglans australis, Juglans neotropica, Juglans olanchana</t>
  </si>
  <si>
    <t xml:space="preserve">https://www.wood-database.com/peruvian-walnut/</t>
  </si>
  <si>
    <t xml:space="preserve">https://en.wikipedia.org/wiki/Juglans_boliviana</t>
  </si>
  <si>
    <t xml:space="preserve">Pheasantwood </t>
  </si>
  <si>
    <t xml:space="preserve">Pheasantwood</t>
  </si>
  <si>
    <t xml:space="preserve">pheasantwood.jpg</t>
  </si>
  <si>
    <t xml:space="preserve">Senna siamea, Cassia siamea </t>
  </si>
  <si>
    <t xml:space="preserve">https://www.wood-database.com/pheasantwood/</t>
  </si>
  <si>
    <t xml:space="preserve">https://en.wikipedia.org/wiki/Senna_siamea</t>
  </si>
  <si>
    <t xml:space="preserve">Pignut Hickory </t>
  </si>
  <si>
    <t xml:space="preserve">Pignut Hickory</t>
  </si>
  <si>
    <t xml:space="preserve">pignut-hickory.jpg</t>
  </si>
  <si>
    <t xml:space="preserve">Carya glabra </t>
  </si>
  <si>
    <t xml:space="preserve">https://www.wood-database.com/pignut-hickory/</t>
  </si>
  <si>
    <t xml:space="preserve">https://en.wikipedia.org/wiki/Carya_glabra</t>
  </si>
  <si>
    <t xml:space="preserve">Plum </t>
  </si>
  <si>
    <t xml:space="preserve">Plum</t>
  </si>
  <si>
    <t xml:space="preserve">plum.jpg</t>
  </si>
  <si>
    <t xml:space="preserve">Prunus domestica </t>
  </si>
  <si>
    <t xml:space="preserve">https://www.wood-database.com/plum/</t>
  </si>
  <si>
    <t xml:space="preserve">https://en.wikipedia.org/wiki/Prunus_domestica</t>
  </si>
  <si>
    <t xml:space="preserve">Ponderosa Pine </t>
  </si>
  <si>
    <t xml:space="preserve">Ponderosa Pine</t>
  </si>
  <si>
    <t xml:space="preserve">ponderosa-pine.jpg</t>
  </si>
  <si>
    <t xml:space="preserve">Pinus ponderosa </t>
  </si>
  <si>
    <t xml:space="preserve">https://www.wood-database.com/ponderosa-pine/</t>
  </si>
  <si>
    <t xml:space="preserve">https://en.wikipedia.org/wiki/Pinus_ponderosa</t>
  </si>
  <si>
    <t xml:space="preserve">Poplar </t>
  </si>
  <si>
    <t xml:space="preserve">Yellow Poplar</t>
  </si>
  <si>
    <t xml:space="preserve">yellow-poplar.jpg</t>
  </si>
  <si>
    <t xml:space="preserve">Tulip Poplar, Yellow Poplar, Liriodendron tulipifera</t>
  </si>
  <si>
    <t xml:space="preserve">https://www.wood-database.com/yellow-poplar/</t>
  </si>
  <si>
    <t xml:space="preserve">https://en.wikipedia.org/wiki/Liriodendron_tulipifera</t>
  </si>
  <si>
    <t xml:space="preserve">Port Orford Cedar </t>
  </si>
  <si>
    <t xml:space="preserve">Port Orford Cedar</t>
  </si>
  <si>
    <t xml:space="preserve">port-orford-cedar.jpg</t>
  </si>
  <si>
    <t xml:space="preserve">Lawson’s Cypress, Chamaecyparis lawsoniana</t>
  </si>
  <si>
    <t xml:space="preserve">https://www.wood-database.com/port-orford-cedar/</t>
  </si>
  <si>
    <t xml:space="preserve">https://en.wikipedia.org/wiki/Chamaecyparis_lawsoniana</t>
  </si>
  <si>
    <t xml:space="preserve">Primavera </t>
  </si>
  <si>
    <t xml:space="preserve">Primavera</t>
  </si>
  <si>
    <t xml:space="preserve">primavera-s.jpg</t>
  </si>
  <si>
    <t xml:space="preserve">Prima Vera, Roseodendron donnell-smithii, Cybistax donnell-smithii, Tabebuia donnell-smithii</t>
  </si>
  <si>
    <t xml:space="preserve">https://www.wood-database.com/primavera/</t>
  </si>
  <si>
    <t xml:space="preserve">https://en.wikipedia.org/wiki/Roseodendron</t>
  </si>
  <si>
    <t xml:space="preserve">Purpleheart </t>
  </si>
  <si>
    <t xml:space="preserve">Purpleheart (Amaranth)</t>
  </si>
  <si>
    <t xml:space="preserve">peltogyne-sp.jpg</t>
  </si>
  <si>
    <t xml:space="preserve">amaranth, roxinho, violeta, Peltogyne spp</t>
  </si>
  <si>
    <t xml:space="preserve">https://www.wood-database.com/purpleheart/</t>
  </si>
  <si>
    <t xml:space="preserve">https://en.wikipedia.org/wiki/Peltogyne</t>
  </si>
  <si>
    <t xml:space="preserve">Quaking Aspen </t>
  </si>
  <si>
    <t xml:space="preserve">Quaking Aspen</t>
  </si>
  <si>
    <t xml:space="preserve">quaking-aspen.jpg</t>
  </si>
  <si>
    <t xml:space="preserve">Populus tremuloides </t>
  </si>
  <si>
    <t xml:space="preserve">https://www.wood-database.com/quaking-aspen/</t>
  </si>
  <si>
    <t xml:space="preserve">https://en.wikipedia.org/wiki/Populus_tremuloides</t>
  </si>
  <si>
    <t xml:space="preserve">Queensland Maple </t>
  </si>
  <si>
    <t xml:space="preserve">Queensland Maple (not maple)</t>
  </si>
  <si>
    <t xml:space="preserve">queensland-maple.jpg</t>
  </si>
  <si>
    <t xml:space="preserve">Flindersia spp, Flindersia brayleyana </t>
  </si>
  <si>
    <t xml:space="preserve">https://www.wood-database.com/queensland-maple/</t>
  </si>
  <si>
    <t xml:space="preserve">https://en.wikipedia.org/wiki/Flindersia_brayleyana</t>
  </si>
  <si>
    <t xml:space="preserve">Queensland Walnut </t>
  </si>
  <si>
    <t xml:space="preserve">Queensland Walnut</t>
  </si>
  <si>
    <t xml:space="preserve">queensland-walnut.jpg</t>
  </si>
  <si>
    <t xml:space="preserve">Orientalwood, Endiandra palmerstonii</t>
  </si>
  <si>
    <t xml:space="preserve">https://www.wood-database.com/queensland-walnut/</t>
  </si>
  <si>
    <t xml:space="preserve">https://en.wikipedia.org/wiki/Endiandra_palmerstonii</t>
  </si>
  <si>
    <t xml:space="preserve">Radiata Pine </t>
  </si>
  <si>
    <t xml:space="preserve">Radiata Pine</t>
  </si>
  <si>
    <t xml:space="preserve">radiata-pine.jpg</t>
  </si>
  <si>
    <t xml:space="preserve">Monterey Pine, Insignis Pine, Pinus radiata</t>
  </si>
  <si>
    <t xml:space="preserve">https://www.wood-database.com/radiata-pine/</t>
  </si>
  <si>
    <t xml:space="preserve">https://en.wikipedia.org/wiki/Pinus_radiata</t>
  </si>
  <si>
    <t xml:space="preserve">Red alder </t>
  </si>
  <si>
    <t xml:space="preserve">Red Alder</t>
  </si>
  <si>
    <t xml:space="preserve">western red alder, Alnus rubra</t>
  </si>
  <si>
    <t xml:space="preserve">https://www.wood-database.com/red-alder/</t>
  </si>
  <si>
    <t xml:space="preserve">https://en.wikipedia.org/wiki/Alnus_rubra</t>
  </si>
  <si>
    <t xml:space="preserve">Red ash </t>
  </si>
  <si>
    <t xml:space="preserve">Red Ash</t>
  </si>
  <si>
    <t xml:space="preserve">alphitonia-excelsa.jpg</t>
  </si>
  <si>
    <t xml:space="preserve">soaptree, red almond, Alphitonia excelsa</t>
  </si>
  <si>
    <t xml:space="preserve">https://www.wood-database.com/red-ash/</t>
  </si>
  <si>
    <t xml:space="preserve">https://en.wikipedia.org/wiki/Alphitonia_excelsa</t>
  </si>
  <si>
    <t xml:space="preserve">Red Elm </t>
  </si>
  <si>
    <t xml:space="preserve">Red Elm</t>
  </si>
  <si>
    <t xml:space="preserve">red-elm.jpg</t>
  </si>
  <si>
    <t xml:space="preserve">Slippery Elm, Soft Elm, Ulmus rubra</t>
  </si>
  <si>
    <t xml:space="preserve">https://www.wood-database.com/red-elm/</t>
  </si>
  <si>
    <t xml:space="preserve">https://en.wikipedia.org/wiki/Ulmus_rubra</t>
  </si>
  <si>
    <t xml:space="preserve">Red maple </t>
  </si>
  <si>
    <t xml:space="preserve">Red Maple
(US "soft")</t>
  </si>
  <si>
    <t xml:space="preserve">acer-rubrum.jpg</t>
  </si>
  <si>
    <t xml:space="preserve">Acer rubrum </t>
  </si>
  <si>
    <t xml:space="preserve">https://www.wood-database.com/red-maple/</t>
  </si>
  <si>
    <t xml:space="preserve">https://en.wikipedia.org/wiki/Acer_rubrum</t>
  </si>
  <si>
    <t xml:space="preserve">Red oak </t>
  </si>
  <si>
    <t xml:space="preserve">Red Oak</t>
  </si>
  <si>
    <t xml:space="preserve">quercus-rubra.jpg</t>
  </si>
  <si>
    <t xml:space="preserve">northern red oak, American red oak </t>
  </si>
  <si>
    <t xml:space="preserve">https://www.wood-database.com/red-oak/</t>
  </si>
  <si>
    <t xml:space="preserve">https://en.wikipedia.org/wiki/Quercus_rubra</t>
  </si>
  <si>
    <t xml:space="preserve">Red Pine </t>
  </si>
  <si>
    <t xml:space="preserve">Red Pine</t>
  </si>
  <si>
    <t xml:space="preserve">red-pine.jpg</t>
  </si>
  <si>
    <t xml:space="preserve">Norway Pine, Pinus resinosa</t>
  </si>
  <si>
    <t xml:space="preserve">https://www.wood-database.com/red-pine/</t>
  </si>
  <si>
    <t xml:space="preserve">https://en.wikipedia.org/wiki/Pinus_resinosa</t>
  </si>
  <si>
    <t xml:space="preserve">Red Spruce </t>
  </si>
  <si>
    <t xml:space="preserve">Red Spruce (Adirondack)</t>
  </si>
  <si>
    <t xml:space="preserve">red-spruce.jpg</t>
  </si>
  <si>
    <t xml:space="preserve">Adirondack Spruce, Picea rubens</t>
  </si>
  <si>
    <t xml:space="preserve">https://www.wood-database.com/red-spruce/</t>
  </si>
  <si>
    <t xml:space="preserve">https://en.wikipedia.org/wiki/Picea_rubens</t>
  </si>
  <si>
    <t xml:space="preserve">Redheart </t>
  </si>
  <si>
    <t xml:space="preserve">Redheart</t>
  </si>
  <si>
    <t xml:space="preserve">redheart.jpg</t>
  </si>
  <si>
    <t xml:space="preserve">Chakte Kok, Erythroxylum spp, Simira spp</t>
  </si>
  <si>
    <t xml:space="preserve">https://www.wood-database.com/redheart/</t>
  </si>
  <si>
    <t xml:space="preserve">https://en.wikipedia.org/wiki/Erythroxylum</t>
  </si>
  <si>
    <t xml:space="preserve">Santos Mahogany </t>
  </si>
  <si>
    <t xml:space="preserve">Santos Mahogany (not Mahogany)</t>
  </si>
  <si>
    <t xml:space="preserve">santos-mahogany1.jpg</t>
  </si>
  <si>
    <t xml:space="preserve">Cabreuva, Myroxylon balsamum</t>
  </si>
  <si>
    <t xml:space="preserve">https://www.wood-database.com/santos-mahogany/</t>
  </si>
  <si>
    <t xml:space="preserve">https://en.wikipedia.org/wiki/Myroxylon_balsamum</t>
  </si>
  <si>
    <t xml:space="preserve">Sapele </t>
  </si>
  <si>
    <t xml:space="preserve">Sapele</t>
  </si>
  <si>
    <t xml:space="preserve">entandrophragma-cylindricum.jpg</t>
  </si>
  <si>
    <t xml:space="preserve">sapelli, sapeli mahogany, Entandrophragma cylindricum</t>
  </si>
  <si>
    <t xml:space="preserve">https://www.wood-database.com/sapele/</t>
  </si>
  <si>
    <t xml:space="preserve">https://en.wikipedia.org/wiki/Sapele</t>
  </si>
  <si>
    <t xml:space="preserve">Sassafras </t>
  </si>
  <si>
    <t xml:space="preserve">Sassafras</t>
  </si>
  <si>
    <t xml:space="preserve">sassafras-albidum.jpg</t>
  </si>
  <si>
    <t xml:space="preserve">common sassafras, Sassafras albidum</t>
  </si>
  <si>
    <t xml:space="preserve">https://www.wood-database.com/sassafras/</t>
  </si>
  <si>
    <t xml:space="preserve">https://en.wikipedia.org/wiki/Sassafras_albidum</t>
  </si>
  <si>
    <t xml:space="preserve">Scots Pine </t>
  </si>
  <si>
    <t xml:space="preserve">Scots Pine</t>
  </si>
  <si>
    <t xml:space="preserve">scots-pine.jpg</t>
  </si>
  <si>
    <t xml:space="preserve">Scotch pine, Pinus sylvestris</t>
  </si>
  <si>
    <t xml:space="preserve">https://www.wood-database.com/scots-pine/</t>
  </si>
  <si>
    <t xml:space="preserve">https://en.wikipedia.org/wiki/Pinus_sylvestris</t>
  </si>
  <si>
    <t xml:space="preserve">Shagbark Hickory </t>
  </si>
  <si>
    <t xml:space="preserve">Shagbark Hickory</t>
  </si>
  <si>
    <t xml:space="preserve">shagbark-hickory.jpg</t>
  </si>
  <si>
    <t xml:space="preserve">Carya ovata </t>
  </si>
  <si>
    <t xml:space="preserve">https://www.wood-database.com/shagbark-hickory/</t>
  </si>
  <si>
    <t xml:space="preserve">https://en.wikipedia.org/wiki/Carya_ovata</t>
  </si>
  <si>
    <t xml:space="preserve">Shortleaf Pine </t>
  </si>
  <si>
    <t xml:space="preserve">Shortleaf Pine</t>
  </si>
  <si>
    <t xml:space="preserve">shortleaf-pine.jpg</t>
  </si>
  <si>
    <t xml:space="preserve">Pinus echinata </t>
  </si>
  <si>
    <t xml:space="preserve">https://www.wood-database.com/shortleaf-pine/</t>
  </si>
  <si>
    <t xml:space="preserve">https://en.wikipedia.org/wiki/Pinus_echinata</t>
  </si>
  <si>
    <t xml:space="preserve">Siam balsa </t>
  </si>
  <si>
    <t xml:space="preserve">Siam Balsa</t>
  </si>
  <si>
    <t xml:space="preserve">hard milkwood, pulai, Alstonia spatulata</t>
  </si>
  <si>
    <t xml:space="preserve">https://www.wood-database.com/siam-balsa/</t>
  </si>
  <si>
    <t xml:space="preserve">https://en.wikipedia.org/wiki/Alstonia_spatulata</t>
  </si>
  <si>
    <t xml:space="preserve">Siamese Rosewood </t>
  </si>
  <si>
    <t xml:space="preserve">Siamese Rosewood</t>
  </si>
  <si>
    <t xml:space="preserve">siamese-rosewood.jpg</t>
  </si>
  <si>
    <t xml:space="preserve">Vietnamese Rosewood, Thai Rosewood, Cambodian Rosewood , Dalbergia cochinchinensis</t>
  </si>
  <si>
    <t xml:space="preserve">https://www.wood-database.com/siamese-rosewood/</t>
  </si>
  <si>
    <t xml:space="preserve">https://en.wikipedia.org/wiki/Dalbergia_cochinchinensis</t>
  </si>
  <si>
    <t xml:space="preserve">Silver maple </t>
  </si>
  <si>
    <t xml:space="preserve">Silver Maple (US "soft")</t>
  </si>
  <si>
    <t xml:space="preserve">acer-saccharinum.jpg</t>
  </si>
  <si>
    <t xml:space="preserve">Acer saccharinum </t>
  </si>
  <si>
    <t xml:space="preserve">https://www.wood-database.com/silver-maple/</t>
  </si>
  <si>
    <t xml:space="preserve">https://en.wikipedia.org/wiki/Acer_saccharinum</t>
  </si>
  <si>
    <t xml:space="preserve">Sissoo </t>
  </si>
  <si>
    <t xml:space="preserve">Sissoo (rosewood)</t>
  </si>
  <si>
    <t xml:space="preserve">sissoo-2.jpg</t>
  </si>
  <si>
    <t xml:space="preserve">Sheesham, Dalbergia sissoo</t>
  </si>
  <si>
    <t xml:space="preserve">https://www.wood-database.com/sissoo/</t>
  </si>
  <si>
    <t xml:space="preserve">https://en.wikipedia.org/wiki/Dalbergia_sissoo</t>
  </si>
  <si>
    <t xml:space="preserve">Sitka Spruce </t>
  </si>
  <si>
    <t xml:space="preserve">Sitka Spruce</t>
  </si>
  <si>
    <t xml:space="preserve">sitka-spruce.jpg</t>
  </si>
  <si>
    <t xml:space="preserve">Picea sitchensis </t>
  </si>
  <si>
    <t xml:space="preserve">https://www.wood-database.com/sitka-spruce/</t>
  </si>
  <si>
    <t xml:space="preserve">https://en.wikipedia.org/wiki/Picea_sitchensis</t>
  </si>
  <si>
    <t xml:space="preserve">Slash Pine </t>
  </si>
  <si>
    <t xml:space="preserve">Slash Pine</t>
  </si>
  <si>
    <t xml:space="preserve">slash-pine.jpg</t>
  </si>
  <si>
    <t xml:space="preserve">Pinus elliottii </t>
  </si>
  <si>
    <t xml:space="preserve">https://www.wood-database.com/slash-pine/</t>
  </si>
  <si>
    <t xml:space="preserve">https://en.wikipedia.org/wiki/Pinus_elliottii</t>
  </si>
  <si>
    <t xml:space="preserve">Snakewood </t>
  </si>
  <si>
    <t xml:space="preserve">Snakewood</t>
  </si>
  <si>
    <t xml:space="preserve">brosimum-guianense.jpg</t>
  </si>
  <si>
    <t xml:space="preserve">letterwood, amourette, Brosimum guianense</t>
  </si>
  <si>
    <t xml:space="preserve">https://www.wood-database.com/snakewood/</t>
  </si>
  <si>
    <t xml:space="preserve">https://en.wikipedia.org/wiki/Brosimum_guianense</t>
  </si>
  <si>
    <t xml:space="preserve">Southern Redcedar </t>
  </si>
  <si>
    <t xml:space="preserve">Southern Redcedar</t>
  </si>
  <si>
    <t xml:space="preserve">Juniperus silicicola, Juniperus virginiana </t>
  </si>
  <si>
    <t xml:space="preserve">https://www.wood-database.com/southern-redcedar/</t>
  </si>
  <si>
    <t xml:space="preserve">Southern Silky Oak </t>
  </si>
  <si>
    <t xml:space="preserve">Southern Silky Oak</t>
  </si>
  <si>
    <t xml:space="preserve">southern-silky-oak.jpg</t>
  </si>
  <si>
    <t xml:space="preserve">Grevillea robusta </t>
  </si>
  <si>
    <t xml:space="preserve">https://www.wood-database.com/southern-silky-oak/</t>
  </si>
  <si>
    <t xml:space="preserve">https://en.wikipedia.org/wiki/Grevillea_robusta</t>
  </si>
  <si>
    <t xml:space="preserve">Spanish Cedar </t>
  </si>
  <si>
    <t xml:space="preserve">Spanish Cedar</t>
  </si>
  <si>
    <t xml:space="preserve">spanish-cedar.jpg</t>
  </si>
  <si>
    <t xml:space="preserve">Cedro, Cedrela odorata</t>
  </si>
  <si>
    <t xml:space="preserve">https://www.wood-database.com/spanish-cedar/</t>
  </si>
  <si>
    <t xml:space="preserve">https://en.wikipedia.org/wiki/Cedrela_odorata</t>
  </si>
  <si>
    <t xml:space="preserve">Spruce Pine </t>
  </si>
  <si>
    <t xml:space="preserve">Spruce Pine</t>
  </si>
  <si>
    <t xml:space="preserve">sand-pine.jpg</t>
  </si>
  <si>
    <t xml:space="preserve">Pinus glabra </t>
  </si>
  <si>
    <t xml:space="preserve">https://www.wood-database.com/spruce-pine/</t>
  </si>
  <si>
    <t xml:space="preserve">https://en.wikipedia.org/wiki/Pinus_glabra</t>
  </si>
  <si>
    <t xml:space="preserve">Striped maple </t>
  </si>
  <si>
    <t xml:space="preserve">Striped Maple</t>
  </si>
  <si>
    <t xml:space="preserve">acer-pensylvanicum-1.jpg</t>
  </si>
  <si>
    <t xml:space="preserve">Acer pensylvanicum </t>
  </si>
  <si>
    <t xml:space="preserve">https://www.wood-database.com/striped-maple/</t>
  </si>
  <si>
    <t xml:space="preserve">https://en.wikipedia.org/wiki/Acer_pensylvanicum</t>
  </si>
  <si>
    <t xml:space="preserve">Subapline fir </t>
  </si>
  <si>
    <t xml:space="preserve">Subalpine Fir</t>
  </si>
  <si>
    <t xml:space="preserve">abies-lasiocarpa.jpg</t>
  </si>
  <si>
    <t xml:space="preserve">Abies lasiocarpa </t>
  </si>
  <si>
    <t xml:space="preserve">https://www.wood-database.com/subalpine-fir/</t>
  </si>
  <si>
    <t xml:space="preserve">https://en.wikipedia.org/wiki/Abies_lasiocarpa</t>
  </si>
  <si>
    <t xml:space="preserve">Sugar Pine </t>
  </si>
  <si>
    <t xml:space="preserve">Sugar Pine</t>
  </si>
  <si>
    <t xml:space="preserve">sugar-pine.jpg</t>
  </si>
  <si>
    <t xml:space="preserve">Pinus lambertiana </t>
  </si>
  <si>
    <t xml:space="preserve">https://www.wood-database.com/sugar-pine/</t>
  </si>
  <si>
    <t xml:space="preserve">https://en.wikipedia.org/wiki/Pinus_lambertiana</t>
  </si>
  <si>
    <t xml:space="preserve">Sugi </t>
  </si>
  <si>
    <t xml:space="preserve">Sugi (Japanese Cedar)</t>
  </si>
  <si>
    <t xml:space="preserve">sugi.jpg</t>
  </si>
  <si>
    <t xml:space="preserve">Japanese Cedar, Cryptomeria japonica</t>
  </si>
  <si>
    <t xml:space="preserve">https://www.wood-database.com/sugi/</t>
  </si>
  <si>
    <t xml:space="preserve">https://en.wikipedia.org/wiki/Cryptomeria</t>
  </si>
  <si>
    <t xml:space="preserve">Sweet Cherry </t>
  </si>
  <si>
    <t xml:space="preserve">Sweet Cherry</t>
  </si>
  <si>
    <t xml:space="preserve">wild-cherry-s.jpg</t>
  </si>
  <si>
    <t xml:space="preserve">Wild Cherry, European Cherry, Prunus avium</t>
  </si>
  <si>
    <t xml:space="preserve">https://www.wood-database.com/sweet-cherry/</t>
  </si>
  <si>
    <t xml:space="preserve">https://en.wikipedia.org/wiki/Prunus_avium</t>
  </si>
  <si>
    <t xml:space="preserve">Sweet Chestnut </t>
  </si>
  <si>
    <t xml:space="preserve">Sweet Chestnut</t>
  </si>
  <si>
    <t xml:space="preserve">sweet-chestnut-s.jpg</t>
  </si>
  <si>
    <t xml:space="preserve">Spanish Chestnut, European Chestnut, Castanea sativa</t>
  </si>
  <si>
    <t xml:space="preserve">https://www.wood-database.com/sweet-chestnut/</t>
  </si>
  <si>
    <t xml:space="preserve">https://en.wikipedia.org/wiki/Castanea_sativa</t>
  </si>
  <si>
    <t xml:space="preserve">Sweetbay </t>
  </si>
  <si>
    <t xml:space="preserve">Sweetbay (Swamp Magnolia)</t>
  </si>
  <si>
    <t xml:space="preserve">sweetbay.jpg</t>
  </si>
  <si>
    <t xml:space="preserve">Swamp Magnolia, Magnolia virginiana</t>
  </si>
  <si>
    <t xml:space="preserve">https://www.wood-database.com/sweetbay/</t>
  </si>
  <si>
    <t xml:space="preserve">https://en.wikipedia.org/wiki/Magnolia_virginiana</t>
  </si>
  <si>
    <t xml:space="preserve">Sweetgum </t>
  </si>
  <si>
    <t xml:space="preserve">Sweetgum (Red gum)</t>
  </si>
  <si>
    <t xml:space="preserve">red-gum-gw.jpg</t>
  </si>
  <si>
    <t xml:space="preserve">Redgum, Sapgum, satin walnut, Liquidambar styraciflua</t>
  </si>
  <si>
    <t xml:space="preserve">https://www.wood-database.com/sweetgum/</t>
  </si>
  <si>
    <t xml:space="preserve">https://en.wikipedia.org/wiki/Liquidambar_styraciflua</t>
  </si>
  <si>
    <t xml:space="preserve">Sycamore </t>
  </si>
  <si>
    <t xml:space="preserve">American Sycamore</t>
  </si>
  <si>
    <t xml:space="preserve">sycamore.jpg</t>
  </si>
  <si>
    <t xml:space="preserve">American Plane, Platanus occidentalis</t>
  </si>
  <si>
    <t xml:space="preserve">https://www.wood-database.com/sycamore/</t>
  </si>
  <si>
    <t xml:space="preserve">https://en.wikipedia.org/wiki/Platanus_occidentalis</t>
  </si>
  <si>
    <t xml:space="preserve">Sycamore maple </t>
  </si>
  <si>
    <t xml:space="preserve">Sycamore Maple (European Maple, violins)</t>
  </si>
  <si>
    <t xml:space="preserve">acer-pseudoplatanus.jpg</t>
  </si>
  <si>
    <t xml:space="preserve">European sycamore, Acer pseudoplatanus</t>
  </si>
  <si>
    <t xml:space="preserve">https://www.wood-database.com/sycamore-maple/</t>
  </si>
  <si>
    <t xml:space="preserve">https://en.wikipedia.org/wiki/Acer_pseudoplatanus</t>
  </si>
  <si>
    <t xml:space="preserve">Tamo Ash </t>
  </si>
  <si>
    <t xml:space="preserve">Tamo Ash</t>
  </si>
  <si>
    <t xml:space="preserve">tamo-ash.jpg</t>
  </si>
  <si>
    <t xml:space="preserve">Japanese Ash, Manchurian Ash, Fraxinus mandshurica</t>
  </si>
  <si>
    <t xml:space="preserve">https://www.wood-database.com/tamo-ash/</t>
  </si>
  <si>
    <t xml:space="preserve">https://en.wikipedia.org/wiki/Fraxinus_mandschurica</t>
  </si>
  <si>
    <t xml:space="preserve">Tanoak </t>
  </si>
  <si>
    <t xml:space="preserve">Tanoak</t>
  </si>
  <si>
    <t xml:space="preserve">tanoak-wt.jpg</t>
  </si>
  <si>
    <t xml:space="preserve">Notholithocarpus densiflorus </t>
  </si>
  <si>
    <t xml:space="preserve">https://www.wood-database.com/tanoak/</t>
  </si>
  <si>
    <t xml:space="preserve">https://en.wikipedia.org/wiki/Notholithocarpus</t>
  </si>
  <si>
    <t xml:space="preserve">Teak </t>
  </si>
  <si>
    <t xml:space="preserve">Teak</t>
  </si>
  <si>
    <t xml:space="preserve">tectona-grandis.jpg</t>
  </si>
  <si>
    <t xml:space="preserve">Burmese teak, genuine teak, Tectona grandis</t>
  </si>
  <si>
    <t xml:space="preserve">https://www.wood-database.com/teak/</t>
  </si>
  <si>
    <t xml:space="preserve">https://en.wikipedia.org/wiki/Teak</t>
  </si>
  <si>
    <t xml:space="preserve">Texas Ebony </t>
  </si>
  <si>
    <t xml:space="preserve">Texas Ebony (not Ebony)</t>
  </si>
  <si>
    <t xml:space="preserve">texas-ebony.jpg</t>
  </si>
  <si>
    <t xml:space="preserve">Ebenopsis ebano </t>
  </si>
  <si>
    <t xml:space="preserve">https://www.wood-database.com/texas-ebony/</t>
  </si>
  <si>
    <t xml:space="preserve">https://en.wikipedia.org/wiki/Ebenopsis_ebano</t>
  </si>
  <si>
    <t xml:space="preserve">Tulipwood </t>
  </si>
  <si>
    <t xml:space="preserve">Brazilian Tulipwood (rosewood)</t>
  </si>
  <si>
    <t xml:space="preserve">tulipwood.jpg</t>
  </si>
  <si>
    <t xml:space="preserve">Dalbergia decipularis, Dalbergia frutescens </t>
  </si>
  <si>
    <t xml:space="preserve">https://www.wood-database.com/brazilian-tulipwood/</t>
  </si>
  <si>
    <t xml:space="preserve">https://en.wikipedia.org/wiki/Tulipwood</t>
  </si>
  <si>
    <t xml:space="preserve">Tzalam </t>
  </si>
  <si>
    <t xml:space="preserve">Tzalam (Sabicu)</t>
  </si>
  <si>
    <t xml:space="preserve">tzalam.jpg</t>
  </si>
  <si>
    <t xml:space="preserve">Caribbean Walnut, Sabicu, False Tamarind, Lysiloma spp, Lysiloma bahamense, Lysiloma latisiliquum</t>
  </si>
  <si>
    <t xml:space="preserve">https://www.wood-database.com/tzalam/</t>
  </si>
  <si>
    <t xml:space="preserve">https://en.wikipedia.org/wiki/Sabicu_wood</t>
  </si>
  <si>
    <t xml:space="preserve">Utile </t>
  </si>
  <si>
    <t xml:space="preserve">Utile (Sipo)</t>
  </si>
  <si>
    <t xml:space="preserve">entandrophragma-utile.jpg</t>
  </si>
  <si>
    <t xml:space="preserve">sipo, sipo mahogany, Entandrophragma utile</t>
  </si>
  <si>
    <t xml:space="preserve">https://www.wood-database.com/utile/</t>
  </si>
  <si>
    <t xml:space="preserve">https://en.wikipedia.org/wiki/Entandrophragma_utile</t>
  </si>
  <si>
    <t xml:space="preserve">Verawood </t>
  </si>
  <si>
    <t xml:space="preserve">Verawood</t>
  </si>
  <si>
    <t xml:space="preserve">bulnesia-arborea.jpg</t>
  </si>
  <si>
    <t xml:space="preserve">Maracaibo lignum vitae, vera, Plectrocarpa arborea</t>
  </si>
  <si>
    <t xml:space="preserve">https://www.wood-database.com/verawood/</t>
  </si>
  <si>
    <t xml:space="preserve">https://en.wikipedia.org/wiki/Bulnesia_arborea</t>
  </si>
  <si>
    <t xml:space="preserve">Wamara </t>
  </si>
  <si>
    <t xml:space="preserve">Wamara</t>
  </si>
  <si>
    <t xml:space="preserve">wamara-jh.jpg</t>
  </si>
  <si>
    <t xml:space="preserve">Guyana Rosewood, Swartzia spp, Swartzia benthamiana, Swartzia leiocalycina</t>
  </si>
  <si>
    <t xml:space="preserve">https://www.wood-database.com/wamara/</t>
  </si>
  <si>
    <t xml:space="preserve">Wenge </t>
  </si>
  <si>
    <t xml:space="preserve">Wenge</t>
  </si>
  <si>
    <t xml:space="preserve">millettia-laurentii.jpg</t>
  </si>
  <si>
    <t xml:space="preserve">Millettia laurentii </t>
  </si>
  <si>
    <t xml:space="preserve">https://www.wood-database.com/wenge/</t>
  </si>
  <si>
    <t xml:space="preserve">https://en.wikipedia.org/wiki/Millettia_laurentii</t>
  </si>
  <si>
    <t xml:space="preserve">Western hemlock </t>
  </si>
  <si>
    <t xml:space="preserve">Western Hemlock</t>
  </si>
  <si>
    <t xml:space="preserve">tsuga-heterophylla-1.jpg</t>
  </si>
  <si>
    <t xml:space="preserve">Tsuga heterophylla </t>
  </si>
  <si>
    <t xml:space="preserve">https://www.wood-database.com/western-hemlock/</t>
  </si>
  <si>
    <t xml:space="preserve">https://en.wikipedia.org/wiki/Tsuga_heterophylla</t>
  </si>
  <si>
    <t xml:space="preserve">Western juniper </t>
  </si>
  <si>
    <t xml:space="preserve">Western Juniper (OSU-Klamath)</t>
  </si>
  <si>
    <t xml:space="preserve">juniperus-occidentalis-alt.jpg</t>
  </si>
  <si>
    <t xml:space="preserve">Juniperus occidentalis </t>
  </si>
  <si>
    <t xml:space="preserve">https://www.wood-database.com/western-juniper/</t>
  </si>
  <si>
    <t xml:space="preserve">https://en.wikipedia.org/wiki/Juniperus_occidentalis</t>
  </si>
  <si>
    <t xml:space="preserve">Western Juniper</t>
  </si>
  <si>
    <t xml:space="preserve">Western Larch </t>
  </si>
  <si>
    <t xml:space="preserve">Western Larch</t>
  </si>
  <si>
    <t xml:space="preserve">western-larch.jpg</t>
  </si>
  <si>
    <t xml:space="preserve">Larix occidentalis </t>
  </si>
  <si>
    <t xml:space="preserve">https://www.wood-database.com/western-larch/</t>
  </si>
  <si>
    <t xml:space="preserve">https://en.wikipedia.org/wiki/Western_larch</t>
  </si>
  <si>
    <t xml:space="preserve">Western red cedar </t>
  </si>
  <si>
    <t xml:space="preserve">Western Red Cedar</t>
  </si>
  <si>
    <t xml:space="preserve">thuja-plicata.jpg</t>
  </si>
  <si>
    <t xml:space="preserve">giant arborvitae, Thuja plicata</t>
  </si>
  <si>
    <t xml:space="preserve">https://www.wood-database.com/western-red-cedar/</t>
  </si>
  <si>
    <t xml:space="preserve">https://en.wikipedia.org/wiki/Thuja_plicata</t>
  </si>
  <si>
    <t xml:space="preserve">Western White Pine </t>
  </si>
  <si>
    <t xml:space="preserve">Western White Pine</t>
  </si>
  <si>
    <t xml:space="preserve">western-white-pine.jpg</t>
  </si>
  <si>
    <t xml:space="preserve">Idaho White Pine, Pinus monticola</t>
  </si>
  <si>
    <t xml:space="preserve">https://www.wood-database.com/western-white-pine/</t>
  </si>
  <si>
    <t xml:space="preserve">https://en.wikipedia.org/wiki/Western_white_pine</t>
  </si>
  <si>
    <t xml:space="preserve">White Ash </t>
  </si>
  <si>
    <t xml:space="preserve">White Ash</t>
  </si>
  <si>
    <t xml:space="preserve">ash.jpg</t>
  </si>
  <si>
    <t xml:space="preserve">American White Ash, Fraxinus americana</t>
  </si>
  <si>
    <t xml:space="preserve">https://www.wood-database.com/white-ash/</t>
  </si>
  <si>
    <t xml:space="preserve">https://en.wikipedia.org/wiki/Fraxinus_americana</t>
  </si>
  <si>
    <t xml:space="preserve">White fir </t>
  </si>
  <si>
    <t xml:space="preserve">White fir</t>
  </si>
  <si>
    <t xml:space="preserve">abies-concolor.jpg</t>
  </si>
  <si>
    <t xml:space="preserve">Abies concolor </t>
  </si>
  <si>
    <t xml:space="preserve">https://www.wood-database.com/white-fir/</t>
  </si>
  <si>
    <t xml:space="preserve">https://en.wikipedia.org/wiki/Abies_concolor</t>
  </si>
  <si>
    <t xml:space="preserve">White oak </t>
  </si>
  <si>
    <t xml:space="preserve">White Oak</t>
  </si>
  <si>
    <t xml:space="preserve">quercus-alba-fs.jpg</t>
  </si>
  <si>
    <t xml:space="preserve">American white oak, Quercus alba</t>
  </si>
  <si>
    <t xml:space="preserve">https://www.wood-database.com/white-oak/</t>
  </si>
  <si>
    <t xml:space="preserve">https://en.wikipedia.org/wiki/Quercus_alba</t>
  </si>
  <si>
    <t xml:space="preserve">White Poplar </t>
  </si>
  <si>
    <t xml:space="preserve">White Poplar</t>
  </si>
  <si>
    <t xml:space="preserve">?</t>
  </si>
  <si>
    <t xml:space="preserve">-</t>
  </si>
  <si>
    <t xml:space="preserve">white-poplar-gw.jpg</t>
  </si>
  <si>
    <t xml:space="preserve">Silver Poplar, Populus alba</t>
  </si>
  <si>
    <t xml:space="preserve">https://www.wood-database.com/white-poplar/</t>
  </si>
  <si>
    <t xml:space="preserve">https://en.wikipedia.org/wiki/Populus_alba</t>
  </si>
  <si>
    <t xml:space="preserve">White Spruce </t>
  </si>
  <si>
    <t xml:space="preserve">White Spruce</t>
  </si>
  <si>
    <t xml:space="preserve">white-spruce.jpg</t>
  </si>
  <si>
    <t xml:space="preserve">Picea glauca </t>
  </si>
  <si>
    <t xml:space="preserve">https://www.wood-database.com/white-spruce/</t>
  </si>
  <si>
    <t xml:space="preserve">https://en.wikipedia.org/wiki/Picea_glauca</t>
  </si>
  <si>
    <t xml:space="preserve">White Willow </t>
  </si>
  <si>
    <t xml:space="preserve">White Willow</t>
  </si>
  <si>
    <t xml:space="preserve">Salix alba </t>
  </si>
  <si>
    <t xml:space="preserve">https://www.wood-database.com/white-willow/</t>
  </si>
  <si>
    <t xml:space="preserve">https://en.wikipedia.org/wiki/Salix_alba</t>
  </si>
  <si>
    <t xml:space="preserve">Yellow Birch </t>
  </si>
  <si>
    <t xml:space="preserve">Yellow Birch</t>
  </si>
  <si>
    <t xml:space="preserve">yellow-birch.jpg</t>
  </si>
  <si>
    <t xml:space="preserve">Betula alleghaniensis </t>
  </si>
  <si>
    <t xml:space="preserve">https://www.wood-database.com/yellow-birch/</t>
  </si>
  <si>
    <t xml:space="preserve">https://en.wikipedia.org/wiki/Betula_alleghaniensis</t>
  </si>
  <si>
    <t xml:space="preserve">Yellow buckeye </t>
  </si>
  <si>
    <t xml:space="preserve">Yellow Buckeye</t>
  </si>
  <si>
    <t xml:space="preserve">aesculus-flava.jpg</t>
  </si>
  <si>
    <t xml:space="preserve">Aesculus flava, Aesculus octandra </t>
  </si>
  <si>
    <t xml:space="preserve">https://www.wood-database.com/yellow-buckeye/</t>
  </si>
  <si>
    <t xml:space="preserve">https://en.wikipedia.org/wiki/Aesculus_flava</t>
  </si>
  <si>
    <t xml:space="preserve">Yellowheart </t>
  </si>
  <si>
    <t xml:space="preserve">Yellowheart (Pau Amarello)</t>
  </si>
  <si>
    <t xml:space="preserve">yellowheart.jpg</t>
  </si>
  <si>
    <t xml:space="preserve">Pau Amarello, Euxylophora paraensis</t>
  </si>
  <si>
    <t xml:space="preserve">https://www.wood-database.com/yellowheart/</t>
  </si>
  <si>
    <t xml:space="preserve">https://en.wikipedia.org/wiki/Euxylophora</t>
  </si>
  <si>
    <t xml:space="preserve">Yucatan Rosewood </t>
  </si>
  <si>
    <t xml:space="preserve">Yucatan Rosewood</t>
  </si>
  <si>
    <t xml:space="preserve">yucatan-rosewood.jpg</t>
  </si>
  <si>
    <t xml:space="preserve">Panama Rosewood, Nicaraguan Rosewood, Dalbergia tucurensis</t>
  </si>
  <si>
    <t xml:space="preserve">https://www.wood-database.com/yucatan-rosewood/</t>
  </si>
  <si>
    <t xml:space="preserve">Zebrawood </t>
  </si>
  <si>
    <t xml:space="preserve">Zebrawood</t>
  </si>
  <si>
    <t xml:space="preserve">microberlinia-brazzavillensis-qs.jpg</t>
  </si>
  <si>
    <t xml:space="preserve">zebrano, zingana, Microberlinia brazzavillensis</t>
  </si>
  <si>
    <t xml:space="preserve">https://www.wood-database.com/zebrawood/</t>
  </si>
  <si>
    <t xml:space="preserve">https://en.wikipedia.org/wiki/Microberlinia_brazzavillensis</t>
  </si>
  <si>
    <t xml:space="preserve">Ziricote </t>
  </si>
  <si>
    <t xml:space="preserve">Ziricote</t>
  </si>
  <si>
    <t xml:space="preserve">ziricote.jpg</t>
  </si>
  <si>
    <t xml:space="preserve">Cordia dodecandra </t>
  </si>
  <si>
    <t xml:space="preserve">https://www.wood-database.com/ziricote/</t>
  </si>
  <si>
    <t xml:space="preserve">https://en.wikipedia.org/wiki/Cordia_dodecandra</t>
  </si>
  <si>
    <t xml:space="preserve">Category</t>
  </si>
  <si>
    <t xml:space="preserve">Name</t>
  </si>
  <si>
    <t xml:space="preserve">Value</t>
  </si>
  <si>
    <t xml:space="preserve">Species</t>
  </si>
  <si>
    <t xml:space="preserve">Highest density of species for tops</t>
  </si>
  <si>
    <t xml:space="preserve">Lowest density of species for backs</t>
  </si>
  <si>
    <t xml:space="preserve">Freq. cross for tops</t>
  </si>
  <si>
    <t xml:space="preserve">Hz</t>
  </si>
  <si>
    <t xml:space="preserve">Gore avg for Engelmann Spruce</t>
  </si>
  <si>
    <t xml:space="preserve">Freq. diag. for tops</t>
  </si>
  <si>
    <t xml:space="preserve">Freq. cross for backs</t>
  </si>
  <si>
    <t xml:space="preserve">Gore avg for EIR</t>
  </si>
  <si>
    <t xml:space="preserve">Freq. diag. for backs</t>
  </si>
  <si>
    <t xml:space="preserve">Max long. shrink</t>
  </si>
  <si>
    <t xml:space="preserve">Top plate</t>
  </si>
  <si>
    <t xml:space="preserve">length</t>
  </si>
  <si>
    <t xml:space="preserve">m</t>
  </si>
  <si>
    <t xml:space="preserve">width</t>
  </si>
  <si>
    <t xml:space="preserve">thickness</t>
  </si>
  <si>
    <t xml:space="preserve">Body</t>
  </si>
  <si>
    <t xml:space="preserve">area</t>
  </si>
  <si>
    <t xml:space="preserve">m²</t>
  </si>
  <si>
    <t xml:space="preserve">top frequency</t>
  </si>
  <si>
    <t xml:space="preserve">Steel-string</t>
  </si>
  <si>
    <t xml:space="preserve">back frequency</t>
  </si>
  <si>
    <t xml:space="preserve">Hearmon</t>
  </si>
  <si>
    <t xml:space="preserve">Clamped</t>
  </si>
  <si>
    <t xml:space="preserve">Supported</t>
  </si>
  <si>
    <t xml:space="preserve">constant 1</t>
  </si>
  <si>
    <t xml:space="preserve">constant 2</t>
  </si>
  <si>
    <t xml:space="preserve">𝜈LR x 𝜈RL</t>
  </si>
  <si>
    <t xml:space="preserve">1-𝜈𝜈</t>
  </si>
  <si>
    <t xml:space="preserve">YM constant</t>
  </si>
  <si>
    <t xml:space="preserve">Tops</t>
  </si>
  <si>
    <t xml:space="preserve">NW Cedar</t>
  </si>
  <si>
    <t xml:space="preserve">WR Cedar</t>
  </si>
  <si>
    <t xml:space="preserve">Basswood</t>
  </si>
  <si>
    <t xml:space="preserve">WW Pine</t>
  </si>
  <si>
    <t xml:space="preserve">Average</t>
  </si>
  <si>
    <t xml:space="preserve">Backs</t>
  </si>
  <si>
    <t xml:space="preserve">Bald Cypress</t>
  </si>
  <si>
    <t xml:space="preserve">Sweetgum</t>
  </si>
  <si>
    <t xml:space="preserve">Khaya</t>
  </si>
  <si>
    <t xml:space="preserve">Red Maple</t>
  </si>
  <si>
    <t xml:space="preserve">Hard Maple</t>
  </si>
  <si>
    <t xml:space="preserve">White oak</t>
  </si>
  <si>
    <t xml:space="preserve">Std dev</t>
  </si>
  <si>
    <t xml:space="preserve">% std dev</t>
  </si>
  <si>
    <t xml:space="preserve">lower</t>
  </si>
  <si>
    <t xml:space="preserve">upper</t>
  </si>
  <si>
    <t xml:space="preserve">Poisson's Ratio</t>
  </si>
  <si>
    <t xml:space="preserve">Young's Modulus</t>
  </si>
  <si>
    <t xml:space="preserve">Tensile Yield Strength</t>
  </si>
  <si>
    <t xml:space="preserve">Ultimate Tensile Strength</t>
  </si>
  <si>
    <t xml:space="preserve">Compressive Yield Strength</t>
  </si>
  <si>
    <t xml:space="preserve">Ultimate Compressive Strength</t>
  </si>
  <si>
    <t xml:space="preserve">Wood</t>
  </si>
  <si>
    <t xml:space="preserve">Sides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</si>
</sst>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%"/>
    <numFmt numFmtId="166" formatCode="0.00"/>
    <numFmt numFmtId="167" formatCode="0.000"/>
    <numFmt numFmtId="168" formatCode="0.0"/>
    <numFmt numFmtId="169" formatCode="0.0%"/>
    <numFmt numFmtId="170" formatCode="0.00%"/>
    <numFmt numFmtId="171" formatCode="\$#,##0.00"/>
    <numFmt numFmtId="172" formatCode="0"/>
    <numFmt numFmtId="173" formatCode="0.0000"/>
    <numFmt numFmtId="174" formatCode="0.000000"/>
    <numFmt numFmtId="175" formatCode="0.00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9"/>
      <name val="Cambria"/>
      <family val="0"/>
      <charset val="1"/>
    </font>
    <font>
      <u val="single"/>
      <sz val="9"/>
      <color rgb="FF0000FF"/>
      <name val="Cambria"/>
      <family val="0"/>
      <charset val="1"/>
    </font>
    <font>
      <sz val="9"/>
      <name val="Cambria"/>
      <family val="0"/>
      <charset val="1"/>
    </font>
    <font>
      <sz val="10"/>
      <name val="Arial"/>
      <family val="2"/>
      <charset val="1"/>
    </font>
    <font>
      <b val="true"/>
      <i val="true"/>
      <sz val="9"/>
      <name val="Cambria"/>
      <family val="0"/>
      <charset val="1"/>
    </font>
    <font>
      <sz val="9"/>
      <color theme="1"/>
      <name val="Cambria"/>
      <family val="0"/>
      <charset val="1"/>
    </font>
    <font>
      <sz val="9"/>
      <color rgb="FF980000"/>
      <name val="Cambria"/>
      <family val="0"/>
      <charset val="1"/>
    </font>
    <font>
      <b val="true"/>
      <sz val="10"/>
      <color theme="1"/>
      <name val="Cambria"/>
      <family val="0"/>
      <charset val="1"/>
    </font>
    <font>
      <sz val="10"/>
      <color theme="1"/>
      <name val="Cambria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Cambria"/>
      <family val="0"/>
      <charset val="1"/>
    </font>
    <font>
      <sz val="11"/>
      <color theme="1"/>
      <name val="Cambria"/>
      <family val="0"/>
      <charset val="1"/>
    </font>
    <font>
      <sz val="11"/>
      <color rgb="FFE69138"/>
      <name val="Cambria"/>
      <family val="0"/>
      <charset val="1"/>
    </font>
    <font>
      <sz val="11"/>
      <color rgb="FFB45F06"/>
      <name val="Cambria"/>
      <family val="0"/>
      <charset val="1"/>
    </font>
    <font>
      <u val="single"/>
      <sz val="10"/>
      <color theme="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69138"/>
      <rgbColor rgb="FFFF6600"/>
      <rgbColor rgb="FF666699"/>
      <rgbColor rgb="FF969696"/>
      <rgbColor rgb="FF003366"/>
      <rgbColor rgb="FF339966"/>
      <rgbColor rgb="FF003300"/>
      <rgbColor rgb="FF333300"/>
      <rgbColor rgb="FFB45F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Softwood" TargetMode="External"/><Relationship Id="rId2" Type="http://schemas.openxmlformats.org/officeDocument/2006/relationships/hyperlink" Target="http://www.tropicaltimber.info/wp-content/uploads/2015/06/Wood_Machining_US_Hardwoods-Davis-E.M.1962USDA.FPL_.pdf" TargetMode="External"/><Relationship Id="rId3" Type="http://schemas.openxmlformats.org/officeDocument/2006/relationships/hyperlink" Target="https://en.wikipedia.org/wiki/Janka_hardness_test" TargetMode="External"/><Relationship Id="rId4" Type="http://schemas.openxmlformats.org/officeDocument/2006/relationships/hyperlink" Target="https://en.wikipedia.org/wiki/Wood" TargetMode="External"/><Relationship Id="rId5" Type="http://schemas.openxmlformats.org/officeDocument/2006/relationships/hyperlink" Target="https://en.wikipedia.org/wiki/Flexural_modulus" TargetMode="External"/><Relationship Id="rId6" Type="http://schemas.openxmlformats.org/officeDocument/2006/relationships/hyperlink" Target="https://en.wikipedia.org/wiki/Poisson%27s_ratio" TargetMode="External"/><Relationship Id="rId7" Type="http://schemas.openxmlformats.org/officeDocument/2006/relationships/hyperlink" Target="https://en.wikipedia.org/wiki/Poisson%27s_ratio" TargetMode="External"/><Relationship Id="rId8" Type="http://schemas.openxmlformats.org/officeDocument/2006/relationships/hyperlink" Target="https://en.wikipedia.org/wiki/Flexural_strength" TargetMode="External"/><Relationship Id="rId9" Type="http://schemas.openxmlformats.org/officeDocument/2006/relationships/hyperlink" Target="https://en.wikipedia.org/wiki/Compressive_strength" TargetMode="External"/><Relationship Id="rId10" Type="http://schemas.openxmlformats.org/officeDocument/2006/relationships/hyperlink" Target="https://www.wood-database.com/african-padauk/" TargetMode="External"/><Relationship Id="rId11" Type="http://schemas.openxmlformats.org/officeDocument/2006/relationships/hyperlink" Target="https://en.wikipedia.org/wiki/Pterocarpus_soyauxii" TargetMode="External"/><Relationship Id="rId12" Type="http://schemas.openxmlformats.org/officeDocument/2006/relationships/hyperlink" Target="https://www.wood-database.com/afrormosia/" TargetMode="External"/><Relationship Id="rId13" Type="http://schemas.openxmlformats.org/officeDocument/2006/relationships/hyperlink" Target="https://en.wikipedia.org/wiki/Pericopsis_elata" TargetMode="External"/><Relationship Id="rId14" Type="http://schemas.openxmlformats.org/officeDocument/2006/relationships/hyperlink" Target="https://www.wood-database.com/alaskan-yellow-cedar" TargetMode="External"/><Relationship Id="rId15" Type="http://schemas.openxmlformats.org/officeDocument/2006/relationships/hyperlink" Target="https://en.wikipedia.org/wiki/Callitropsis_nootkatensis" TargetMode="External"/><Relationship Id="rId16" Type="http://schemas.openxmlformats.org/officeDocument/2006/relationships/hyperlink" Target="https://www.wood-database.com/amazon-rosewood/" TargetMode="External"/><Relationship Id="rId17" Type="http://schemas.openxmlformats.org/officeDocument/2006/relationships/hyperlink" Target="https://www.wood-database.com/american-beech/" TargetMode="External"/><Relationship Id="rId18" Type="http://schemas.openxmlformats.org/officeDocument/2006/relationships/hyperlink" Target="https://en.wikipedia.org/wiki/Fagus_grandifolia" TargetMode="External"/><Relationship Id="rId19" Type="http://schemas.openxmlformats.org/officeDocument/2006/relationships/hyperlink" Target="https://www.wood-database.com/american-chestnut/" TargetMode="External"/><Relationship Id="rId20" Type="http://schemas.openxmlformats.org/officeDocument/2006/relationships/hyperlink" Target="https://en.wikipedia.org/wiki/American_chestnut" TargetMode="External"/><Relationship Id="rId21" Type="http://schemas.openxmlformats.org/officeDocument/2006/relationships/hyperlink" Target="https://www.wood-database.com/american-elm/" TargetMode="External"/><Relationship Id="rId22" Type="http://schemas.openxmlformats.org/officeDocument/2006/relationships/hyperlink" Target="https://en.wikipedia.org/wiki/Ulmus_americana" TargetMode="External"/><Relationship Id="rId23" Type="http://schemas.openxmlformats.org/officeDocument/2006/relationships/hyperlink" Target="https://www.wood-database.com/andean-alder/" TargetMode="External"/><Relationship Id="rId24" Type="http://schemas.openxmlformats.org/officeDocument/2006/relationships/hyperlink" Target="https://en.wikipedia.org/wiki/Alnus_acuminata" TargetMode="External"/><Relationship Id="rId25" Type="http://schemas.openxmlformats.org/officeDocument/2006/relationships/hyperlink" Target="https://www.wood-database.com/anigre/" TargetMode="External"/><Relationship Id="rId26" Type="http://schemas.openxmlformats.org/officeDocument/2006/relationships/hyperlink" Target="https://en.wikipedia.org/wiki/Aningeria" TargetMode="External"/><Relationship Id="rId27" Type="http://schemas.openxmlformats.org/officeDocument/2006/relationships/hyperlink" Target="https://www.wood-database.com/apple/" TargetMode="External"/><Relationship Id="rId28" Type="http://schemas.openxmlformats.org/officeDocument/2006/relationships/hyperlink" Target="https://en.wikipedia.org/wiki/Apple" TargetMode="External"/><Relationship Id="rId29" Type="http://schemas.openxmlformats.org/officeDocument/2006/relationships/hyperlink" Target="https://www.wood-database.com/apricot/" TargetMode="External"/><Relationship Id="rId30" Type="http://schemas.openxmlformats.org/officeDocument/2006/relationships/hyperlink" Target="https://en.wikipedia.org/wiki/Prunus_armeniaca" TargetMode="External"/><Relationship Id="rId31" Type="http://schemas.openxmlformats.org/officeDocument/2006/relationships/hyperlink" Target="https://www.wood-database.com/atlantic-white-cedar/" TargetMode="External"/><Relationship Id="rId32" Type="http://schemas.openxmlformats.org/officeDocument/2006/relationships/hyperlink" Target="https://en.wikipedia.org/wiki/Chamaecyparis_thyoides" TargetMode="External"/><Relationship Id="rId33" Type="http://schemas.openxmlformats.org/officeDocument/2006/relationships/hyperlink" Target="https://www.wood-database.com/atlas-cedar/" TargetMode="External"/><Relationship Id="rId34" Type="http://schemas.openxmlformats.org/officeDocument/2006/relationships/hyperlink" Target="https://en.wikipedia.org/wiki/Cedrus_atlantica" TargetMode="External"/><Relationship Id="rId35" Type="http://schemas.openxmlformats.org/officeDocument/2006/relationships/hyperlink" Target="https://www.wood-database.com/australian-blackwood/" TargetMode="External"/><Relationship Id="rId36" Type="http://schemas.openxmlformats.org/officeDocument/2006/relationships/hyperlink" Target="https://en.wikipedia.org/wiki/Acacia_melanoxylon" TargetMode="External"/><Relationship Id="rId37" Type="http://schemas.openxmlformats.org/officeDocument/2006/relationships/hyperlink" Target="https://www.wood-database.com/australian-red-cedar/" TargetMode="External"/><Relationship Id="rId38" Type="http://schemas.openxmlformats.org/officeDocument/2006/relationships/hyperlink" Target="https://en.wikipedia.org/wiki/Toona_ciliata" TargetMode="External"/><Relationship Id="rId39" Type="http://schemas.openxmlformats.org/officeDocument/2006/relationships/hyperlink" Target="https://www.wood-database.com/avodire/" TargetMode="External"/><Relationship Id="rId40" Type="http://schemas.openxmlformats.org/officeDocument/2006/relationships/hyperlink" Target="https://en.wikipedia.org/wiki/Turraeanthus_africanus" TargetMode="External"/><Relationship Id="rId41" Type="http://schemas.openxmlformats.org/officeDocument/2006/relationships/hyperlink" Target="https://www.wood-database.com/bald-cypress/" TargetMode="External"/><Relationship Id="rId42" Type="http://schemas.openxmlformats.org/officeDocument/2006/relationships/hyperlink" Target="https://en.wikipedia.org/wiki/Taxodium_distichum" TargetMode="External"/><Relationship Id="rId43" Type="http://schemas.openxmlformats.org/officeDocument/2006/relationships/hyperlink" Target="https://www.wood-database.com/balsa/" TargetMode="External"/><Relationship Id="rId44" Type="http://schemas.openxmlformats.org/officeDocument/2006/relationships/hyperlink" Target="https://en.wikipedia.org/wiki/Ochroma" TargetMode="External"/><Relationship Id="rId45" Type="http://schemas.openxmlformats.org/officeDocument/2006/relationships/hyperlink" Target="https://www.wood-database.com/balsam-fir/" TargetMode="External"/><Relationship Id="rId46" Type="http://schemas.openxmlformats.org/officeDocument/2006/relationships/hyperlink" Target="https://en.wikipedia.org/wiki/Abies_balsamea" TargetMode="External"/><Relationship Id="rId47" Type="http://schemas.openxmlformats.org/officeDocument/2006/relationships/hyperlink" Target="https://www.wood-database.com/balsam-poplar/" TargetMode="External"/><Relationship Id="rId48" Type="http://schemas.openxmlformats.org/officeDocument/2006/relationships/hyperlink" Target="https://en.wikipedia.org/wiki/Populus_balsamifera" TargetMode="External"/><Relationship Id="rId49" Type="http://schemas.openxmlformats.org/officeDocument/2006/relationships/hyperlink" Target="https://www.wood-database.com/bamboo/" TargetMode="External"/><Relationship Id="rId50" Type="http://schemas.openxmlformats.org/officeDocument/2006/relationships/hyperlink" Target="https://en.wikipedia.org/wiki/Bamboo" TargetMode="External"/><Relationship Id="rId51" Type="http://schemas.openxmlformats.org/officeDocument/2006/relationships/hyperlink" Target="https://www.wood-database.com/basswood" TargetMode="External"/><Relationship Id="rId52" Type="http://schemas.openxmlformats.org/officeDocument/2006/relationships/hyperlink" Target="https://en.wikipedia.org/wiki/Tilia_americana" TargetMode="External"/><Relationship Id="rId53" Type="http://schemas.openxmlformats.org/officeDocument/2006/relationships/hyperlink" Target="https://www.wood-database.com/batai/" TargetMode="External"/><Relationship Id="rId54" Type="http://schemas.openxmlformats.org/officeDocument/2006/relationships/hyperlink" Target="https://en.wikipedia.org/wiki/Falcataria_falcata" TargetMode="External"/><Relationship Id="rId55" Type="http://schemas.openxmlformats.org/officeDocument/2006/relationships/hyperlink" Target="https://www.wood-database.com/bigleaf-maple/" TargetMode="External"/><Relationship Id="rId56" Type="http://schemas.openxmlformats.org/officeDocument/2006/relationships/hyperlink" Target="https://en.wikipedia.org/wiki/Acer_macrophyllum" TargetMode="External"/><Relationship Id="rId57" Type="http://schemas.openxmlformats.org/officeDocument/2006/relationships/hyperlink" Target="https://www.wood-database.com/bigtooth-aspen/" TargetMode="External"/><Relationship Id="rId58" Type="http://schemas.openxmlformats.org/officeDocument/2006/relationships/hyperlink" Target="https://en.wikipedia.org/wiki/Populus_grandidentata" TargetMode="External"/><Relationship Id="rId59" Type="http://schemas.openxmlformats.org/officeDocument/2006/relationships/hyperlink" Target="https://www.wood-database.com/black-ash/" TargetMode="External"/><Relationship Id="rId60" Type="http://schemas.openxmlformats.org/officeDocument/2006/relationships/hyperlink" Target="https://en.wikipedia.org/wiki/Fraxinus_nigra" TargetMode="External"/><Relationship Id="rId61" Type="http://schemas.openxmlformats.org/officeDocument/2006/relationships/hyperlink" Target="https://www.wood-database.com/black-cherry/" TargetMode="External"/><Relationship Id="rId62" Type="http://schemas.openxmlformats.org/officeDocument/2006/relationships/hyperlink" Target="https://en.wikipedia.org/wiki/Prunus_serotina" TargetMode="External"/><Relationship Id="rId63" Type="http://schemas.openxmlformats.org/officeDocument/2006/relationships/hyperlink" Target="https://www.wood-database.com/black-cottonwood/" TargetMode="External"/><Relationship Id="rId64" Type="http://schemas.openxmlformats.org/officeDocument/2006/relationships/hyperlink" Target="https://en.wikipedia.org/wiki/Populus_trichocarpa" TargetMode="External"/><Relationship Id="rId65" Type="http://schemas.openxmlformats.org/officeDocument/2006/relationships/hyperlink" Target="https://www.wood-database.com/black-ironwood/" TargetMode="External"/><Relationship Id="rId66" Type="http://schemas.openxmlformats.org/officeDocument/2006/relationships/hyperlink" Target="https://en.wikipedia.org/wiki/Krugiodendron" TargetMode="External"/><Relationship Id="rId67" Type="http://schemas.openxmlformats.org/officeDocument/2006/relationships/hyperlink" Target="https://www.wood-database.com/black-locust/" TargetMode="External"/><Relationship Id="rId68" Type="http://schemas.openxmlformats.org/officeDocument/2006/relationships/hyperlink" Target="https://en.wikipedia.org/wiki/Robinia_pseudoacacia" TargetMode="External"/><Relationship Id="rId69" Type="http://schemas.openxmlformats.org/officeDocument/2006/relationships/hyperlink" Target="https://www.wood-database.com/black-maple/" TargetMode="External"/><Relationship Id="rId70" Type="http://schemas.openxmlformats.org/officeDocument/2006/relationships/hyperlink" Target="https://en.wikipedia.org/wiki/Acer_nigrum" TargetMode="External"/><Relationship Id="rId71" Type="http://schemas.openxmlformats.org/officeDocument/2006/relationships/hyperlink" Target="https://www.wood-database.com/black-oak/" TargetMode="External"/><Relationship Id="rId72" Type="http://schemas.openxmlformats.org/officeDocument/2006/relationships/hyperlink" Target="https://en.wikipedia.org/wiki/Quercus_velutina" TargetMode="External"/><Relationship Id="rId73" Type="http://schemas.openxmlformats.org/officeDocument/2006/relationships/hyperlink" Target="https://www.wood-database.com/black-poplar/" TargetMode="External"/><Relationship Id="rId74" Type="http://schemas.openxmlformats.org/officeDocument/2006/relationships/hyperlink" Target="https://en.wikipedia.org/wiki/Populus_nigra" TargetMode="External"/><Relationship Id="rId75" Type="http://schemas.openxmlformats.org/officeDocument/2006/relationships/hyperlink" Target="https://www.wood-database.com/black-siris/" TargetMode="External"/><Relationship Id="rId76" Type="http://schemas.openxmlformats.org/officeDocument/2006/relationships/hyperlink" Target="https://en.wikipedia.org/wiki/Albizia_odoratissima" TargetMode="External"/><Relationship Id="rId77" Type="http://schemas.openxmlformats.org/officeDocument/2006/relationships/hyperlink" Target="https://www.wood-database.com/black-spruce/" TargetMode="External"/><Relationship Id="rId78" Type="http://schemas.openxmlformats.org/officeDocument/2006/relationships/hyperlink" Target="https://en.wikipedia.org/wiki/Picea_mariana" TargetMode="External"/><Relationship Id="rId79" Type="http://schemas.openxmlformats.org/officeDocument/2006/relationships/hyperlink" Target="https://www.wood-database.com/black-tupelo/" TargetMode="External"/><Relationship Id="rId80" Type="http://schemas.openxmlformats.org/officeDocument/2006/relationships/hyperlink" Target="https://en.wikipedia.org/wiki/Nyssa_sylvatica" TargetMode="External"/><Relationship Id="rId81" Type="http://schemas.openxmlformats.org/officeDocument/2006/relationships/hyperlink" Target="https://www.wood-database.com/black-walnut/" TargetMode="External"/><Relationship Id="rId82" Type="http://schemas.openxmlformats.org/officeDocument/2006/relationships/hyperlink" Target="https://en.wikipedia.org/wiki/Juglans_nigra" TargetMode="External"/><Relationship Id="rId83" Type="http://schemas.openxmlformats.org/officeDocument/2006/relationships/hyperlink" Target="https://www.wood-database.com/black-willow/" TargetMode="External"/><Relationship Id="rId84" Type="http://schemas.openxmlformats.org/officeDocument/2006/relationships/hyperlink" Target="https://en.wikipedia.org/wiki/Salix_nigra" TargetMode="External"/><Relationship Id="rId85" Type="http://schemas.openxmlformats.org/officeDocument/2006/relationships/hyperlink" Target="https://www.wood-database.com/bloodwood/" TargetMode="External"/><Relationship Id="rId86" Type="http://schemas.openxmlformats.org/officeDocument/2006/relationships/hyperlink" Target="https://en.wikipedia.org/wiki/Brosimum" TargetMode="External"/><Relationship Id="rId87" Type="http://schemas.openxmlformats.org/officeDocument/2006/relationships/hyperlink" Target="https://www.wood-database.com/blue-gum/" TargetMode="External"/><Relationship Id="rId88" Type="http://schemas.openxmlformats.org/officeDocument/2006/relationships/hyperlink" Target="https://en.wikipedia.org/wiki/Eucalyptus_globulus" TargetMode="External"/><Relationship Id="rId89" Type="http://schemas.openxmlformats.org/officeDocument/2006/relationships/hyperlink" Target="https://www.wood-database.com/bocote/" TargetMode="External"/><Relationship Id="rId90" Type="http://schemas.openxmlformats.org/officeDocument/2006/relationships/hyperlink" Target="https://en.wikipedia.org/wiki/Cordia" TargetMode="External"/><Relationship Id="rId91" Type="http://schemas.openxmlformats.org/officeDocument/2006/relationships/hyperlink" Target="https://www.wood-database.com/bois-de-rose/" TargetMode="External"/><Relationship Id="rId92" Type="http://schemas.openxmlformats.org/officeDocument/2006/relationships/hyperlink" Target="https://en.wikipedia.org/wiki/Dalbergia_maritima" TargetMode="External"/><Relationship Id="rId93" Type="http://schemas.openxmlformats.org/officeDocument/2006/relationships/hyperlink" Target="https://www.wood-database.com/boxwood/" TargetMode="External"/><Relationship Id="rId94" Type="http://schemas.openxmlformats.org/officeDocument/2006/relationships/hyperlink" Target="https://en.wikipedia.org/wiki/Buxus_sempervirens" TargetMode="External"/><Relationship Id="rId95" Type="http://schemas.openxmlformats.org/officeDocument/2006/relationships/hyperlink" Target="https://www.wood-database.com/brazilian-rosewood/" TargetMode="External"/><Relationship Id="rId96" Type="http://schemas.openxmlformats.org/officeDocument/2006/relationships/hyperlink" Target="https://en.wikipedia.org/wiki/Dalbergia_nigra" TargetMode="External"/><Relationship Id="rId97" Type="http://schemas.openxmlformats.org/officeDocument/2006/relationships/hyperlink" Target="https://www.wood-database.com/brazilwood/" TargetMode="External"/><Relationship Id="rId98" Type="http://schemas.openxmlformats.org/officeDocument/2006/relationships/hyperlink" Target="https://en.wikipedia.org/wiki/Paubrasilia" TargetMode="External"/><Relationship Id="rId99" Type="http://schemas.openxmlformats.org/officeDocument/2006/relationships/hyperlink" Target="https://www.wood-database.com/bubinga" TargetMode="External"/><Relationship Id="rId100" Type="http://schemas.openxmlformats.org/officeDocument/2006/relationships/hyperlink" Target="https://en.wikipedia.org/wiki/Guibourtia" TargetMode="External"/><Relationship Id="rId101" Type="http://schemas.openxmlformats.org/officeDocument/2006/relationships/hyperlink" Target="https://www.wood-database.com/bulletwood/" TargetMode="External"/><Relationship Id="rId102" Type="http://schemas.openxmlformats.org/officeDocument/2006/relationships/hyperlink" Target="https://en.wikipedia.org/wiki/Manilkara_bidentata" TargetMode="External"/><Relationship Id="rId103" Type="http://schemas.openxmlformats.org/officeDocument/2006/relationships/hyperlink" Target="https://www.wood-database.com/bur-oak/" TargetMode="External"/><Relationship Id="rId104" Type="http://schemas.openxmlformats.org/officeDocument/2006/relationships/hyperlink" Target="https://en.wikipedia.org/wiki/Quercus_macrocarpa" TargetMode="External"/><Relationship Id="rId105" Type="http://schemas.openxmlformats.org/officeDocument/2006/relationships/hyperlink" Target="https://www.wood-database.com/burma-padauk/" TargetMode="External"/><Relationship Id="rId106" Type="http://schemas.openxmlformats.org/officeDocument/2006/relationships/hyperlink" Target="https://en.wikipedia.org/wiki/Pterocarpus_macrocarpus" TargetMode="External"/><Relationship Id="rId107" Type="http://schemas.openxmlformats.org/officeDocument/2006/relationships/hyperlink" Target="https://www.wood-database.com/burmese-rosewood/" TargetMode="External"/><Relationship Id="rId108" Type="http://schemas.openxmlformats.org/officeDocument/2006/relationships/hyperlink" Target="https://en.wikipedia.org/wiki/Dalbergia_oliveri" TargetMode="External"/><Relationship Id="rId109" Type="http://schemas.openxmlformats.org/officeDocument/2006/relationships/hyperlink" Target="https://www.wood-database.com/butternut/" TargetMode="External"/><Relationship Id="rId110" Type="http://schemas.openxmlformats.org/officeDocument/2006/relationships/hyperlink" Target="https://en.wikipedia.org/wiki/Juglans_cinerea" TargetMode="External"/><Relationship Id="rId111" Type="http://schemas.openxmlformats.org/officeDocument/2006/relationships/hyperlink" Target="https://www.wood-database.com/california-black-oak/" TargetMode="External"/><Relationship Id="rId112" Type="http://schemas.openxmlformats.org/officeDocument/2006/relationships/hyperlink" Target="https://en.wikipedia.org/wiki/Quercus_kelloggii" TargetMode="External"/><Relationship Id="rId113" Type="http://schemas.openxmlformats.org/officeDocument/2006/relationships/hyperlink" Target="https://www.wood-database.com/california-red-fir/" TargetMode="External"/><Relationship Id="rId114" Type="http://schemas.openxmlformats.org/officeDocument/2006/relationships/hyperlink" Target="https://en.wikipedia.org/wiki/Abies_magnifica" TargetMode="External"/><Relationship Id="rId115" Type="http://schemas.openxmlformats.org/officeDocument/2006/relationships/hyperlink" Target="https://www.wood-database.com/canarywood/" TargetMode="External"/><Relationship Id="rId116" Type="http://schemas.openxmlformats.org/officeDocument/2006/relationships/hyperlink" Target="https://en.wikipedia.org/wiki/Centrolobium" TargetMode="External"/><Relationship Id="rId117" Type="http://schemas.openxmlformats.org/officeDocument/2006/relationships/hyperlink" Target="https://www.wood-database.com/candlenut/" TargetMode="External"/><Relationship Id="rId118" Type="http://schemas.openxmlformats.org/officeDocument/2006/relationships/hyperlink" Target="https://en.wikipedia.org/wiki/Aleurites_moluccanus" TargetMode="External"/><Relationship Id="rId119" Type="http://schemas.openxmlformats.org/officeDocument/2006/relationships/hyperlink" Target="https://www.wood-database.com/catalpa/" TargetMode="External"/><Relationship Id="rId120" Type="http://schemas.openxmlformats.org/officeDocument/2006/relationships/hyperlink" Target="https://en.wikipedia.org/wiki/Catalpa" TargetMode="External"/><Relationship Id="rId121" Type="http://schemas.openxmlformats.org/officeDocument/2006/relationships/hyperlink" Target="https://www.wood-database.com/cedar-of-lebanon/" TargetMode="External"/><Relationship Id="rId122" Type="http://schemas.openxmlformats.org/officeDocument/2006/relationships/hyperlink" Target="https://en.wikipedia.org/wiki/Cedrus_libani" TargetMode="External"/><Relationship Id="rId123" Type="http://schemas.openxmlformats.org/officeDocument/2006/relationships/hyperlink" Target="https://www.wood-database.com/cerejeira/" TargetMode="External"/><Relationship Id="rId124" Type="http://schemas.openxmlformats.org/officeDocument/2006/relationships/hyperlink" Target="https://en.wikipedia.org/wiki/Amburana_cearensis" TargetMode="External"/><Relationship Id="rId125" Type="http://schemas.openxmlformats.org/officeDocument/2006/relationships/hyperlink" Target="https://www.wood-database.com/ceylon-ebony/" TargetMode="External"/><Relationship Id="rId126" Type="http://schemas.openxmlformats.org/officeDocument/2006/relationships/hyperlink" Target="https://en.wikipedia.org/wiki/Diospyros_ebenum" TargetMode="External"/><Relationship Id="rId127" Type="http://schemas.openxmlformats.org/officeDocument/2006/relationships/hyperlink" Target="https://www.wood-database.com/chechen/" TargetMode="External"/><Relationship Id="rId128" Type="http://schemas.openxmlformats.org/officeDocument/2006/relationships/hyperlink" Target="https://en.wikipedia.org/wiki/Metopium_brownei" TargetMode="External"/><Relationship Id="rId129" Type="http://schemas.openxmlformats.org/officeDocument/2006/relationships/hyperlink" Target="https://www.wood-database.com/cheesewood/" TargetMode="External"/><Relationship Id="rId130" Type="http://schemas.openxmlformats.org/officeDocument/2006/relationships/hyperlink" Target="https://en.wikipedia.org/wiki/Alstonia_congensis" TargetMode="External"/><Relationship Id="rId131" Type="http://schemas.openxmlformats.org/officeDocument/2006/relationships/hyperlink" Target="https://www.wood-database.com/cherrybark-oak/" TargetMode="External"/><Relationship Id="rId132" Type="http://schemas.openxmlformats.org/officeDocument/2006/relationships/hyperlink" Target="https://en.wikipedia.org/wiki/Quercus_pagoda" TargetMode="External"/><Relationship Id="rId133" Type="http://schemas.openxmlformats.org/officeDocument/2006/relationships/hyperlink" Target="https://www.wood-database.com/chestnut-oak/" TargetMode="External"/><Relationship Id="rId134" Type="http://schemas.openxmlformats.org/officeDocument/2006/relationships/hyperlink" Target="https://en.wikipedia.org/wiki/Quercus_montana" TargetMode="External"/><Relationship Id="rId135" Type="http://schemas.openxmlformats.org/officeDocument/2006/relationships/hyperlink" Target="https://www.wood-database.com/claro-walnut/" TargetMode="External"/><Relationship Id="rId136" Type="http://schemas.openxmlformats.org/officeDocument/2006/relationships/hyperlink" Target="https://en.wikipedia.org/wiki/Juglans_hindsii" TargetMode="External"/><Relationship Id="rId137" Type="http://schemas.openxmlformats.org/officeDocument/2006/relationships/hyperlink" Target="https://www.wood-database.com/redwood/" TargetMode="External"/><Relationship Id="rId138" Type="http://schemas.openxmlformats.org/officeDocument/2006/relationships/hyperlink" Target="https://en.wikipedia.org/wiki/Sequoia_sempervirens" TargetMode="External"/><Relationship Id="rId139" Type="http://schemas.openxmlformats.org/officeDocument/2006/relationships/hyperlink" Target="https://www.wood-database.com/cocobolo/" TargetMode="External"/><Relationship Id="rId140" Type="http://schemas.openxmlformats.org/officeDocument/2006/relationships/hyperlink" Target="https://en.wikipedia.org/wiki/Dalbergia_retusa" TargetMode="External"/><Relationship Id="rId141" Type="http://schemas.openxmlformats.org/officeDocument/2006/relationships/hyperlink" Target="https://www.wood-database.com/cuban-mahogany/" TargetMode="External"/><Relationship Id="rId142" Type="http://schemas.openxmlformats.org/officeDocument/2006/relationships/hyperlink" Target="https://en.wikipedia.org/wiki/Swietenia_mahagoni" TargetMode="External"/><Relationship Id="rId143" Type="http://schemas.openxmlformats.org/officeDocument/2006/relationships/hyperlink" Target="https://www.wood-database.com/cucumbertree/" TargetMode="External"/><Relationship Id="rId144" Type="http://schemas.openxmlformats.org/officeDocument/2006/relationships/hyperlink" Target="https://en.wikipedia.org/wiki/Magnolia_acuminata" TargetMode="External"/><Relationship Id="rId145" Type="http://schemas.openxmlformats.org/officeDocument/2006/relationships/hyperlink" Target="https://www.wood-database.com/cumaru/" TargetMode="External"/><Relationship Id="rId146" Type="http://schemas.openxmlformats.org/officeDocument/2006/relationships/hyperlink" Target="https://en.wikipedia.org/wiki/Dipteryx_odorata" TargetMode="External"/><Relationship Id="rId147" Type="http://schemas.openxmlformats.org/officeDocument/2006/relationships/hyperlink" Target="https://www.wood-database.com/curupay/" TargetMode="External"/><Relationship Id="rId148" Type="http://schemas.openxmlformats.org/officeDocument/2006/relationships/hyperlink" Target="https://en.wikipedia.org/wiki/Anadenanthera_colubrina" TargetMode="External"/><Relationship Id="rId149" Type="http://schemas.openxmlformats.org/officeDocument/2006/relationships/hyperlink" Target="https://www.wood-database.com/dark-red-meranti/" TargetMode="External"/><Relationship Id="rId150" Type="http://schemas.openxmlformats.org/officeDocument/2006/relationships/hyperlink" Target="https://en.wikipedia.org/wiki/Shorea_acuminata" TargetMode="External"/><Relationship Id="rId151" Type="http://schemas.openxmlformats.org/officeDocument/2006/relationships/hyperlink" Target="https://www.wood-database.com/desert-ironwood/" TargetMode="External"/><Relationship Id="rId152" Type="http://schemas.openxmlformats.org/officeDocument/2006/relationships/hyperlink" Target="https://en.wikipedia.org/wiki/Olneya" TargetMode="External"/><Relationship Id="rId153" Type="http://schemas.openxmlformats.org/officeDocument/2006/relationships/hyperlink" Target="https://www.wood-database.com/douglas-fir/" TargetMode="External"/><Relationship Id="rId154" Type="http://schemas.openxmlformats.org/officeDocument/2006/relationships/hyperlink" Target="https://en.wikipedia.org/wiki/Douglas_fir" TargetMode="External"/><Relationship Id="rId155" Type="http://schemas.openxmlformats.org/officeDocument/2006/relationships/hyperlink" Target="https://www.wood-database.com/east-indian-kauri/" TargetMode="External"/><Relationship Id="rId156" Type="http://schemas.openxmlformats.org/officeDocument/2006/relationships/hyperlink" Target="https://en.wikipedia.org/wiki/Agathis_dammara" TargetMode="External"/><Relationship Id="rId157" Type="http://schemas.openxmlformats.org/officeDocument/2006/relationships/hyperlink" Target="https://www.wood-database.com/east-indian-rosewood/" TargetMode="External"/><Relationship Id="rId158" Type="http://schemas.openxmlformats.org/officeDocument/2006/relationships/hyperlink" Target="https://en.wikipedia.org/wiki/Dalbergia_latifolia" TargetMode="External"/><Relationship Id="rId159" Type="http://schemas.openxmlformats.org/officeDocument/2006/relationships/hyperlink" Target="https://www.wood-database.com/east-indian-satinwood/" TargetMode="External"/><Relationship Id="rId160" Type="http://schemas.openxmlformats.org/officeDocument/2006/relationships/hyperlink" Target="https://en.wikipedia.org/wiki/Chloroxylon_swietenia" TargetMode="External"/><Relationship Id="rId161" Type="http://schemas.openxmlformats.org/officeDocument/2006/relationships/hyperlink" Target="https://www.wood-database.com/eastern-cottonwood/" TargetMode="External"/><Relationship Id="rId162" Type="http://schemas.openxmlformats.org/officeDocument/2006/relationships/hyperlink" Target="https://en.wikipedia.org/wiki/Populus_deltoides" TargetMode="External"/><Relationship Id="rId163" Type="http://schemas.openxmlformats.org/officeDocument/2006/relationships/hyperlink" Target="https://www.wood-database.com/eastern-hemlock/" TargetMode="External"/><Relationship Id="rId164" Type="http://schemas.openxmlformats.org/officeDocument/2006/relationships/hyperlink" Target="https://en.wikipedia.org/wiki/Tsuga_canadensis" TargetMode="External"/><Relationship Id="rId165" Type="http://schemas.openxmlformats.org/officeDocument/2006/relationships/hyperlink" Target="https://www.wood-database.com/eastern-red-cedar/" TargetMode="External"/><Relationship Id="rId166" Type="http://schemas.openxmlformats.org/officeDocument/2006/relationships/hyperlink" Target="https://en.wikipedia.org/wiki/Juniperus_virginiana" TargetMode="External"/><Relationship Id="rId167" Type="http://schemas.openxmlformats.org/officeDocument/2006/relationships/hyperlink" Target="https://www.wood-database.com/eastern-white-pine/" TargetMode="External"/><Relationship Id="rId168" Type="http://schemas.openxmlformats.org/officeDocument/2006/relationships/hyperlink" Target="https://en.wikipedia.org/wiki/Pinus_strobus" TargetMode="External"/><Relationship Id="rId169" Type="http://schemas.openxmlformats.org/officeDocument/2006/relationships/hyperlink" Target="https://www.wood-database.com/ebiara/" TargetMode="External"/><Relationship Id="rId170" Type="http://schemas.openxmlformats.org/officeDocument/2006/relationships/hyperlink" Target="https://en.wikipedia.org/wiki/Berlinia" TargetMode="External"/><Relationship Id="rId171" Type="http://schemas.openxmlformats.org/officeDocument/2006/relationships/hyperlink" Target="https://www.wood-database.com/engelmann-spruce" TargetMode="External"/><Relationship Id="rId172" Type="http://schemas.openxmlformats.org/officeDocument/2006/relationships/hyperlink" Target="https://en.wikipedia.org/wiki/Picea_engelmannii" TargetMode="External"/><Relationship Id="rId173" Type="http://schemas.openxmlformats.org/officeDocument/2006/relationships/hyperlink" Target="https://www.wood-database.com/english-walnut/" TargetMode="External"/><Relationship Id="rId174" Type="http://schemas.openxmlformats.org/officeDocument/2006/relationships/hyperlink" Target="https://en.wikipedia.org/wiki/Juglans_regia" TargetMode="External"/><Relationship Id="rId175" Type="http://schemas.openxmlformats.org/officeDocument/2006/relationships/hyperlink" Target="https://www.wood-database.com/etimoe/" TargetMode="External"/><Relationship Id="rId176" Type="http://schemas.openxmlformats.org/officeDocument/2006/relationships/hyperlink" Target="https://en.wikipedia.org/wiki/Copaifera" TargetMode="External"/><Relationship Id="rId177" Type="http://schemas.openxmlformats.org/officeDocument/2006/relationships/hyperlink" Target="https://www.wood-database.com/european-alder/" TargetMode="External"/><Relationship Id="rId178" Type="http://schemas.openxmlformats.org/officeDocument/2006/relationships/hyperlink" Target="https://en.wikipedia.org/wiki/Alnus_glutinosa" TargetMode="External"/><Relationship Id="rId179" Type="http://schemas.openxmlformats.org/officeDocument/2006/relationships/hyperlink" Target="https://www.wood-database.com/european-ash/" TargetMode="External"/><Relationship Id="rId180" Type="http://schemas.openxmlformats.org/officeDocument/2006/relationships/hyperlink" Target="https://en.wikipedia.org/wiki/Fraxinus_excelsior" TargetMode="External"/><Relationship Id="rId181" Type="http://schemas.openxmlformats.org/officeDocument/2006/relationships/hyperlink" Target="https://www.wood-database.com/european-beech/" TargetMode="External"/><Relationship Id="rId182" Type="http://schemas.openxmlformats.org/officeDocument/2006/relationships/hyperlink" Target="https://en.wikipedia.org/wiki/Fagus_sylvatica" TargetMode="External"/><Relationship Id="rId183" Type="http://schemas.openxmlformats.org/officeDocument/2006/relationships/hyperlink" Target="https://www.wood-database.com/european-hornbeam/" TargetMode="External"/><Relationship Id="rId184" Type="http://schemas.openxmlformats.org/officeDocument/2006/relationships/hyperlink" Target="https://en.wikipedia.org/wiki/Carpinus_betulus" TargetMode="External"/><Relationship Id="rId185" Type="http://schemas.openxmlformats.org/officeDocument/2006/relationships/hyperlink" Target="https://www.wood-database.com/european-lime/" TargetMode="External"/><Relationship Id="rId186" Type="http://schemas.openxmlformats.org/officeDocument/2006/relationships/hyperlink" Target="https://en.wikipedia.org/wiki/Tilia_&#215;_europaea" TargetMode="External"/><Relationship Id="rId187" Type="http://schemas.openxmlformats.org/officeDocument/2006/relationships/hyperlink" Target="https://www.wood-database.com/european-silver-fir/" TargetMode="External"/><Relationship Id="rId188" Type="http://schemas.openxmlformats.org/officeDocument/2006/relationships/hyperlink" Target="https://en.wikipedia.org/wiki/Abies_alba" TargetMode="External"/><Relationship Id="rId189" Type="http://schemas.openxmlformats.org/officeDocument/2006/relationships/hyperlink" Target="https://www.wood-database.com/european-yew/" TargetMode="External"/><Relationship Id="rId190" Type="http://schemas.openxmlformats.org/officeDocument/2006/relationships/hyperlink" Target="https://en.wikipedia.org/wiki/Taxus_baccata" TargetMode="External"/><Relationship Id="rId191" Type="http://schemas.openxmlformats.org/officeDocument/2006/relationships/hyperlink" Target="https://www.wood-database.com/field-maple/" TargetMode="External"/><Relationship Id="rId192" Type="http://schemas.openxmlformats.org/officeDocument/2006/relationships/hyperlink" Target="https://en.wikipedia.org/wiki/Acer_campestre" TargetMode="External"/><Relationship Id="rId193" Type="http://schemas.openxmlformats.org/officeDocument/2006/relationships/hyperlink" Target="https://www.wood-database.com/freijo/" TargetMode="External"/><Relationship Id="rId194" Type="http://schemas.openxmlformats.org/officeDocument/2006/relationships/hyperlink" Target="https://en.wikipedia.org/wiki/Cordia" TargetMode="External"/><Relationship Id="rId195" Type="http://schemas.openxmlformats.org/officeDocument/2006/relationships/hyperlink" Target="https://www.wood-database.com/gaboon-ebony/" TargetMode="External"/><Relationship Id="rId196" Type="http://schemas.openxmlformats.org/officeDocument/2006/relationships/hyperlink" Target="https://en.wikipedia.org/wiki/Diospyros_crassiflora" TargetMode="External"/><Relationship Id="rId197" Type="http://schemas.openxmlformats.org/officeDocument/2006/relationships/hyperlink" Target="https://www.wood-database.com/giant-sequoia/" TargetMode="External"/><Relationship Id="rId198" Type="http://schemas.openxmlformats.org/officeDocument/2006/relationships/hyperlink" Target="https://en.wikipedia.org/wiki/Sequoiadendron_giganteum" TargetMode="External"/><Relationship Id="rId199" Type="http://schemas.openxmlformats.org/officeDocument/2006/relationships/hyperlink" Target="https://www.wood-database.com/gidgee" TargetMode="External"/><Relationship Id="rId200" Type="http://schemas.openxmlformats.org/officeDocument/2006/relationships/hyperlink" Target="https://en.wikipedia.org/wiki/Acacia_cambagei" TargetMode="External"/><Relationship Id="rId201" Type="http://schemas.openxmlformats.org/officeDocument/2006/relationships/hyperlink" Target="https://www.wood-database.com/goncalo-alves/" TargetMode="External"/><Relationship Id="rId202" Type="http://schemas.openxmlformats.org/officeDocument/2006/relationships/hyperlink" Target="https://en.wikipedia.org/wiki/Astronium_fraxinifolium" TargetMode="External"/><Relationship Id="rId203" Type="http://schemas.openxmlformats.org/officeDocument/2006/relationships/hyperlink" Target="https://www.wood-database.com/gowen-cypress/" TargetMode="External"/><Relationship Id="rId204" Type="http://schemas.openxmlformats.org/officeDocument/2006/relationships/hyperlink" Target="https://en.wikipedia.org/wiki/Hesperocyparis_goveniana" TargetMode="External"/><Relationship Id="rId205" Type="http://schemas.openxmlformats.org/officeDocument/2006/relationships/hyperlink" Target="https://www.wood-database.com/grand-fir/" TargetMode="External"/><Relationship Id="rId206" Type="http://schemas.openxmlformats.org/officeDocument/2006/relationships/hyperlink" Target="https://en.wikipedia.org/wiki/Abies_grandis" TargetMode="External"/><Relationship Id="rId207" Type="http://schemas.openxmlformats.org/officeDocument/2006/relationships/hyperlink" Target="https://www.wood-database.com/green-ash/" TargetMode="External"/><Relationship Id="rId208" Type="http://schemas.openxmlformats.org/officeDocument/2006/relationships/hyperlink" Target="https://en.wikipedia.org/wiki/Fraxinus_pennsylvanica" TargetMode="External"/><Relationship Id="rId209" Type="http://schemas.openxmlformats.org/officeDocument/2006/relationships/hyperlink" Target="https://www.wood-database.com/greenheart/" TargetMode="External"/><Relationship Id="rId210" Type="http://schemas.openxmlformats.org/officeDocument/2006/relationships/hyperlink" Target="https://en.wikipedia.org/wiki/Chlorocardium_rodiei" TargetMode="External"/><Relationship Id="rId211" Type="http://schemas.openxmlformats.org/officeDocument/2006/relationships/hyperlink" Target="https://www.wood-database.com/hackberry/" TargetMode="External"/><Relationship Id="rId212" Type="http://schemas.openxmlformats.org/officeDocument/2006/relationships/hyperlink" Target="https://en.wikipedia.org/wiki/Celtis_occidentalis" TargetMode="External"/><Relationship Id="rId213" Type="http://schemas.openxmlformats.org/officeDocument/2006/relationships/hyperlink" Target="https://www.wood-database.com/hard-maple/" TargetMode="External"/><Relationship Id="rId214" Type="http://schemas.openxmlformats.org/officeDocument/2006/relationships/hyperlink" Target="https://en.wikipedia.org/wiki/Acer_saccharum" TargetMode="External"/><Relationship Id="rId215" Type="http://schemas.openxmlformats.org/officeDocument/2006/relationships/hyperlink" Target="https://www.wood-database.com/holly/" TargetMode="External"/><Relationship Id="rId216" Type="http://schemas.openxmlformats.org/officeDocument/2006/relationships/hyperlink" Target="https://en.wikipedia.org/wiki/Ilex_opaca" TargetMode="External"/><Relationship Id="rId217" Type="http://schemas.openxmlformats.org/officeDocument/2006/relationships/hyperlink" Target="https://www.wood-database.com/honduran-mahogany/" TargetMode="External"/><Relationship Id="rId218" Type="http://schemas.openxmlformats.org/officeDocument/2006/relationships/hyperlink" Target="https://en.wikipedia.org/wiki/Swietenia_macrophylla" TargetMode="External"/><Relationship Id="rId219" Type="http://schemas.openxmlformats.org/officeDocument/2006/relationships/hyperlink" Target="https://www.wood-database.com/honduran-rosewood/" TargetMode="External"/><Relationship Id="rId220" Type="http://schemas.openxmlformats.org/officeDocument/2006/relationships/hyperlink" Target="https://en.wikipedia.org/wiki/Dalbergia_stevensonii" TargetMode="External"/><Relationship Id="rId221" Type="http://schemas.openxmlformats.org/officeDocument/2006/relationships/hyperlink" Target="https://www.wood-database.com/honey-mesquite/" TargetMode="External"/><Relationship Id="rId222" Type="http://schemas.openxmlformats.org/officeDocument/2006/relationships/hyperlink" Target="https://en.wikipedia.org/wiki/Neltuma_glandulosa" TargetMode="External"/><Relationship Id="rId223" Type="http://schemas.openxmlformats.org/officeDocument/2006/relationships/hyperlink" Target="https://www.wood-database.com/imbuia/" TargetMode="External"/><Relationship Id="rId224" Type="http://schemas.openxmlformats.org/officeDocument/2006/relationships/hyperlink" Target="https://en.wikipedia.org/wiki/Ocotea_porosa" TargetMode="External"/><Relationship Id="rId225" Type="http://schemas.openxmlformats.org/officeDocument/2006/relationships/hyperlink" Target="https://www.wood-database.com/incense-cedar/" TargetMode="External"/><Relationship Id="rId226" Type="http://schemas.openxmlformats.org/officeDocument/2006/relationships/hyperlink" Target="https://en.wikipedia.org/wiki/Calocedrus_decurrens" TargetMode="External"/><Relationship Id="rId227" Type="http://schemas.openxmlformats.org/officeDocument/2006/relationships/hyperlink" Target="https://www.wood-database.com/indian-laurel/" TargetMode="External"/><Relationship Id="rId228" Type="http://schemas.openxmlformats.org/officeDocument/2006/relationships/hyperlink" Target="https://en.wikipedia.org/wiki/Terminalia_elliptica" TargetMode="External"/><Relationship Id="rId229" Type="http://schemas.openxmlformats.org/officeDocument/2006/relationships/hyperlink" Target="https://www.wood-database.com/indian-pulai/" TargetMode="External"/><Relationship Id="rId230" Type="http://schemas.openxmlformats.org/officeDocument/2006/relationships/hyperlink" Target="https://en.wikipedia.org/wiki/Alstonia_scholaris" TargetMode="External"/><Relationship Id="rId231" Type="http://schemas.openxmlformats.org/officeDocument/2006/relationships/hyperlink" Target="https://www.wood-database.com/ipe/" TargetMode="External"/><Relationship Id="rId232" Type="http://schemas.openxmlformats.org/officeDocument/2006/relationships/hyperlink" Target="https://en.wikipedia.org/wiki/Handroanthus" TargetMode="External"/><Relationship Id="rId233" Type="http://schemas.openxmlformats.org/officeDocument/2006/relationships/hyperlink" Target="https://www.wood-database.com/iroko/" TargetMode="External"/><Relationship Id="rId234" Type="http://schemas.openxmlformats.org/officeDocument/2006/relationships/hyperlink" Target="https://en.wikipedia.org/wiki/Iroko" TargetMode="External"/><Relationship Id="rId235" Type="http://schemas.openxmlformats.org/officeDocument/2006/relationships/hyperlink" Target="https://www.wood-database.com/jarrah/" TargetMode="External"/><Relationship Id="rId236" Type="http://schemas.openxmlformats.org/officeDocument/2006/relationships/hyperlink" Target="https://en.wikipedia.org/wiki/Eucalyptus_marginata" TargetMode="External"/><Relationship Id="rId237" Type="http://schemas.openxmlformats.org/officeDocument/2006/relationships/hyperlink" Target="https://www.wood-database.com/jatoba/" TargetMode="External"/><Relationship Id="rId238" Type="http://schemas.openxmlformats.org/officeDocument/2006/relationships/hyperlink" Target="https://en.wikipedia.org/wiki/Hymenaea_courbaril" TargetMode="External"/><Relationship Id="rId239" Type="http://schemas.openxmlformats.org/officeDocument/2006/relationships/hyperlink" Target="https://www.wood-database.com/katalox/" TargetMode="External"/><Relationship Id="rId240" Type="http://schemas.openxmlformats.org/officeDocument/2006/relationships/hyperlink" Target="https://en.wikipedia.org/wiki/Swartzia" TargetMode="External"/><Relationship Id="rId241" Type="http://schemas.openxmlformats.org/officeDocument/2006/relationships/hyperlink" Target="https://www.wood-database.com/keruing/" TargetMode="External"/><Relationship Id="rId242" Type="http://schemas.openxmlformats.org/officeDocument/2006/relationships/hyperlink" Target="https://en.wikipedia.org/wiki/Dipterocarpus" TargetMode="External"/><Relationship Id="rId243" Type="http://schemas.openxmlformats.org/officeDocument/2006/relationships/hyperlink" Target="https://www.wood-database.com/kingwood/" TargetMode="External"/><Relationship Id="rId244" Type="http://schemas.openxmlformats.org/officeDocument/2006/relationships/hyperlink" Target="https://en.wikipedia.org/wiki/Dalbergia_cearensis" TargetMode="External"/><Relationship Id="rId245" Type="http://schemas.openxmlformats.org/officeDocument/2006/relationships/hyperlink" Target="https://www.wood-database.com/koa/" TargetMode="External"/><Relationship Id="rId246" Type="http://schemas.openxmlformats.org/officeDocument/2006/relationships/hyperlink" Target="https://en.wikipedia.org/wiki/Acacia_koa" TargetMode="External"/><Relationship Id="rId247" Type="http://schemas.openxmlformats.org/officeDocument/2006/relationships/hyperlink" Target="https://www.wood-database.com/lacewood/" TargetMode="External"/><Relationship Id="rId248" Type="http://schemas.openxmlformats.org/officeDocument/2006/relationships/hyperlink" Target="https://en.wikipedia.org/wiki/Panopsis" TargetMode="External"/><Relationship Id="rId249" Type="http://schemas.openxmlformats.org/officeDocument/2006/relationships/hyperlink" Target="https://www.wood-database.com/leopardwood/" TargetMode="External"/><Relationship Id="rId250" Type="http://schemas.openxmlformats.org/officeDocument/2006/relationships/hyperlink" Target="https://en.wikipedia.org/wiki/Roupala_montana" TargetMode="External"/><Relationship Id="rId251" Type="http://schemas.openxmlformats.org/officeDocument/2006/relationships/hyperlink" Target="https://www.wood-database.com/leyland-cypress/" TargetMode="External"/><Relationship Id="rId252" Type="http://schemas.openxmlformats.org/officeDocument/2006/relationships/hyperlink" Target="https://en.wikipedia.org/wiki/Leyland_cypress" TargetMode="External"/><Relationship Id="rId253" Type="http://schemas.openxmlformats.org/officeDocument/2006/relationships/hyperlink" Target="https://www.wood-database.com/lignum-vitae/" TargetMode="External"/><Relationship Id="rId254" Type="http://schemas.openxmlformats.org/officeDocument/2006/relationships/hyperlink" Target="https://en.wikipedia.org/wiki/Guaiacum_officinale" TargetMode="External"/><Relationship Id="rId255" Type="http://schemas.openxmlformats.org/officeDocument/2006/relationships/hyperlink" Target="https://www.wood-database.com/limba" TargetMode="External"/><Relationship Id="rId256" Type="http://schemas.openxmlformats.org/officeDocument/2006/relationships/hyperlink" Target="https://en.wikipedia.org/wiki/Terminalia_superba" TargetMode="External"/><Relationship Id="rId257" Type="http://schemas.openxmlformats.org/officeDocument/2006/relationships/hyperlink" Target="https://www.wood-database.com/live-oak/" TargetMode="External"/><Relationship Id="rId258" Type="http://schemas.openxmlformats.org/officeDocument/2006/relationships/hyperlink" Target="https://en.wikipedia.org/wiki/Quercus_virginiana" TargetMode="External"/><Relationship Id="rId259" Type="http://schemas.openxmlformats.org/officeDocument/2006/relationships/hyperlink" Target="https://www.wood-database.com/loblolly-pine/" TargetMode="External"/><Relationship Id="rId260" Type="http://schemas.openxmlformats.org/officeDocument/2006/relationships/hyperlink" Target="https://en.wikipedia.org/wiki/Pinus_taeda" TargetMode="External"/><Relationship Id="rId261" Type="http://schemas.openxmlformats.org/officeDocument/2006/relationships/hyperlink" Target="https://www.wood-database.com/lodgepole-pine/" TargetMode="External"/><Relationship Id="rId262" Type="http://schemas.openxmlformats.org/officeDocument/2006/relationships/hyperlink" Target="https://en.wikipedia.org/wiki/Pinus_contorta" TargetMode="External"/><Relationship Id="rId263" Type="http://schemas.openxmlformats.org/officeDocument/2006/relationships/hyperlink" Target="https://www.wood-database.com/longleaf-pine/" TargetMode="External"/><Relationship Id="rId264" Type="http://schemas.openxmlformats.org/officeDocument/2006/relationships/hyperlink" Target="https://en.wikipedia.org/wiki/Longleaf_pine" TargetMode="External"/><Relationship Id="rId265" Type="http://schemas.openxmlformats.org/officeDocument/2006/relationships/hyperlink" Target="https://www.wood-database.com/macacauba/" TargetMode="External"/><Relationship Id="rId266" Type="http://schemas.openxmlformats.org/officeDocument/2006/relationships/hyperlink" Target="https://en.wikipedia.org/wiki/Platymiscium" TargetMode="External"/><Relationship Id="rId267" Type="http://schemas.openxmlformats.org/officeDocument/2006/relationships/hyperlink" Target="https://www.wood-database.com/macassar-ebony/" TargetMode="External"/><Relationship Id="rId268" Type="http://schemas.openxmlformats.org/officeDocument/2006/relationships/hyperlink" Target="https://en.wikipedia.org/wiki/Diospyros_celebica" TargetMode="External"/><Relationship Id="rId269" Type="http://schemas.openxmlformats.org/officeDocument/2006/relationships/hyperlink" Target="https://www.wood-database.com/madagascar-rosewood/" TargetMode="External"/><Relationship Id="rId270" Type="http://schemas.openxmlformats.org/officeDocument/2006/relationships/hyperlink" Target="https://en.wikipedia.org/wiki/Dalbergia_baronii" TargetMode="External"/><Relationship Id="rId271" Type="http://schemas.openxmlformats.org/officeDocument/2006/relationships/hyperlink" Target="https://www.wood-database.com/madrone/" TargetMode="External"/><Relationship Id="rId272" Type="http://schemas.openxmlformats.org/officeDocument/2006/relationships/hyperlink" Target="https://en.wikipedia.org/wiki/Arbutus_menziesii" TargetMode="External"/><Relationship Id="rId273" Type="http://schemas.openxmlformats.org/officeDocument/2006/relationships/hyperlink" Target="https://www.wood-database.com/makore/" TargetMode="External"/><Relationship Id="rId274" Type="http://schemas.openxmlformats.org/officeDocument/2006/relationships/hyperlink" Target="https://en.wikipedia.org/wiki/Tieghemella_heckelii" TargetMode="External"/><Relationship Id="rId275" Type="http://schemas.openxmlformats.org/officeDocument/2006/relationships/hyperlink" Target="https://www.wood-database.com/malaysian-blackwood/" TargetMode="External"/><Relationship Id="rId276" Type="http://schemas.openxmlformats.org/officeDocument/2006/relationships/hyperlink" Target="https://www.wood-database.com/mediterranen-cypress/" TargetMode="External"/><Relationship Id="rId277" Type="http://schemas.openxmlformats.org/officeDocument/2006/relationships/hyperlink" Target="https://en.wikipedia.org/wiki/Cupressus_sempervirens" TargetMode="External"/><Relationship Id="rId278" Type="http://schemas.openxmlformats.org/officeDocument/2006/relationships/hyperlink" Target="https://www.wood-database.com/mexican-cypress/" TargetMode="External"/><Relationship Id="rId279" Type="http://schemas.openxmlformats.org/officeDocument/2006/relationships/hyperlink" Target="https://en.wikipedia.org/wiki/Hesperocyparis_lusitanica" TargetMode="External"/><Relationship Id="rId280" Type="http://schemas.openxmlformats.org/officeDocument/2006/relationships/hyperlink" Target="https://www.wood-database.com/monkeypod/" TargetMode="External"/><Relationship Id="rId281" Type="http://schemas.openxmlformats.org/officeDocument/2006/relationships/hyperlink" Target="https://en.wikipedia.org/wiki/Samanea_saman" TargetMode="External"/><Relationship Id="rId282" Type="http://schemas.openxmlformats.org/officeDocument/2006/relationships/hyperlink" Target="https://www.wood-database.com/monterey-cypress/" TargetMode="External"/><Relationship Id="rId283" Type="http://schemas.openxmlformats.org/officeDocument/2006/relationships/hyperlink" Target="https://en.wikipedia.org/wiki/Cupressus_macrocarpa" TargetMode="External"/><Relationship Id="rId284" Type="http://schemas.openxmlformats.org/officeDocument/2006/relationships/hyperlink" Target="https://www.wood-database.com/mopane/" TargetMode="External"/><Relationship Id="rId285" Type="http://schemas.openxmlformats.org/officeDocument/2006/relationships/hyperlink" Target="https://en.wikipedia.org/wiki/Mopane" TargetMode="External"/><Relationship Id="rId286" Type="http://schemas.openxmlformats.org/officeDocument/2006/relationships/hyperlink" Target="https://www.wood-database.com/mora/" TargetMode="External"/><Relationship Id="rId287" Type="http://schemas.openxmlformats.org/officeDocument/2006/relationships/hyperlink" Target="https://en.wikipedia.org/wiki/Nato_wood" TargetMode="External"/><Relationship Id="rId288" Type="http://schemas.openxmlformats.org/officeDocument/2006/relationships/hyperlink" Target="https://www.wood-database.com/mutenye/" TargetMode="External"/><Relationship Id="rId289" Type="http://schemas.openxmlformats.org/officeDocument/2006/relationships/hyperlink" Target="https://en.wikipedia.org/wiki/Guibourtia_arnoldiana" TargetMode="External"/><Relationship Id="rId290" Type="http://schemas.openxmlformats.org/officeDocument/2006/relationships/hyperlink" Target="https://www.wood-database.com/narra/" TargetMode="External"/><Relationship Id="rId291" Type="http://schemas.openxmlformats.org/officeDocument/2006/relationships/hyperlink" Target="https://en.wikipedia.org/wiki/Pterocarpus_indicus" TargetMode="External"/><Relationship Id="rId292" Type="http://schemas.openxmlformats.org/officeDocument/2006/relationships/hyperlink" Target="https://www.wood-database.com/kauri/" TargetMode="External"/><Relationship Id="rId293" Type="http://schemas.openxmlformats.org/officeDocument/2006/relationships/hyperlink" Target="https://en.wikipedia.org/wiki/Agathis_australis" TargetMode="External"/><Relationship Id="rId294" Type="http://schemas.openxmlformats.org/officeDocument/2006/relationships/hyperlink" Target="https://www.wood-database.com/noble-fir/" TargetMode="External"/><Relationship Id="rId295" Type="http://schemas.openxmlformats.org/officeDocument/2006/relationships/hyperlink" Target="https://en.wikipedia.org/wiki/Abies_procera" TargetMode="External"/><Relationship Id="rId296" Type="http://schemas.openxmlformats.org/officeDocument/2006/relationships/hyperlink" Target="https://www.wood-database.com/northern-silky-oak/" TargetMode="External"/><Relationship Id="rId297" Type="http://schemas.openxmlformats.org/officeDocument/2006/relationships/hyperlink" Target="https://en.wikipedia.org/wiki/Cardwellia" TargetMode="External"/><Relationship Id="rId298" Type="http://schemas.openxmlformats.org/officeDocument/2006/relationships/hyperlink" Target="https://www.wood-database.com/northern-white-cedar/" TargetMode="External"/><Relationship Id="rId299" Type="http://schemas.openxmlformats.org/officeDocument/2006/relationships/hyperlink" Target="https://en.wikipedia.org/wiki/Thuja_occidentalis" TargetMode="External"/><Relationship Id="rId300" Type="http://schemas.openxmlformats.org/officeDocument/2006/relationships/hyperlink" Target="https://www.wood-database.com/norway-maple/" TargetMode="External"/><Relationship Id="rId301" Type="http://schemas.openxmlformats.org/officeDocument/2006/relationships/hyperlink" Target="https://en.wikipedia.org/wiki/Acer_platanoides" TargetMode="External"/><Relationship Id="rId302" Type="http://schemas.openxmlformats.org/officeDocument/2006/relationships/hyperlink" Target="https://www.wood-database.com/norway-spruce/" TargetMode="External"/><Relationship Id="rId303" Type="http://schemas.openxmlformats.org/officeDocument/2006/relationships/hyperlink" Target="https://en.wikipedia.org/wiki/Picea_abies" TargetMode="External"/><Relationship Id="rId304" Type="http://schemas.openxmlformats.org/officeDocument/2006/relationships/hyperlink" Target="https://www.wood-database.com/nyatoh/" TargetMode="External"/><Relationship Id="rId305" Type="http://schemas.openxmlformats.org/officeDocument/2006/relationships/hyperlink" Target="https://en.wikipedia.org/wiki/Nyatoh" TargetMode="External"/><Relationship Id="rId306" Type="http://schemas.openxmlformats.org/officeDocument/2006/relationships/hyperlink" Target="https://www.wood-database.com/obeche/" TargetMode="External"/><Relationship Id="rId307" Type="http://schemas.openxmlformats.org/officeDocument/2006/relationships/hyperlink" Target="https://en.wikipedia.org/wiki/Triplochiton_scleroxylon" TargetMode="External"/><Relationship Id="rId308" Type="http://schemas.openxmlformats.org/officeDocument/2006/relationships/hyperlink" Target="https://www.wood-database.com/okoume/" TargetMode="External"/><Relationship Id="rId309" Type="http://schemas.openxmlformats.org/officeDocument/2006/relationships/hyperlink" Target="https://en.wikipedia.org/wiki/Aucoumea_klaineana" TargetMode="External"/><Relationship Id="rId310" Type="http://schemas.openxmlformats.org/officeDocument/2006/relationships/hyperlink" Target="https://www.wood-database.com/oregon-ash/" TargetMode="External"/><Relationship Id="rId311" Type="http://schemas.openxmlformats.org/officeDocument/2006/relationships/hyperlink" Target="https://en.wikipedia.org/wiki/Fraxinus_latifolia" TargetMode="External"/><Relationship Id="rId312" Type="http://schemas.openxmlformats.org/officeDocument/2006/relationships/hyperlink" Target="https://www.wood-database.com/myrtle/" TargetMode="External"/><Relationship Id="rId313" Type="http://schemas.openxmlformats.org/officeDocument/2006/relationships/hyperlink" Target="https://en.wikipedia.org/wiki/Umbellularia" TargetMode="External"/><Relationship Id="rId314" Type="http://schemas.openxmlformats.org/officeDocument/2006/relationships/hyperlink" Target="https://www.wood-database.com/oregon-white-oak/" TargetMode="External"/><Relationship Id="rId315" Type="http://schemas.openxmlformats.org/officeDocument/2006/relationships/hyperlink" Target="https://en.wikipedia.org/wiki/Quercus_garryana" TargetMode="External"/><Relationship Id="rId316" Type="http://schemas.openxmlformats.org/officeDocument/2006/relationships/hyperlink" Target="https://www.wood-database.com/osage-orange/" TargetMode="External"/><Relationship Id="rId317" Type="http://schemas.openxmlformats.org/officeDocument/2006/relationships/hyperlink" Target="https://en.wikipedia.org/wiki/Maclura_pomifera" TargetMode="External"/><Relationship Id="rId318" Type="http://schemas.openxmlformats.org/officeDocument/2006/relationships/hyperlink" Target="https://www.wood-database.com/ovangkol/" TargetMode="External"/><Relationship Id="rId319" Type="http://schemas.openxmlformats.org/officeDocument/2006/relationships/hyperlink" Target="https://en.wikipedia.org/wiki/Guibourtia_ehie" TargetMode="External"/><Relationship Id="rId320" Type="http://schemas.openxmlformats.org/officeDocument/2006/relationships/hyperlink" Target="https://www.wood-database.com/pacific-silver-fir/" TargetMode="External"/><Relationship Id="rId321" Type="http://schemas.openxmlformats.org/officeDocument/2006/relationships/hyperlink" Target="https://en.wikipedia.org/wiki/Abies_amabilis" TargetMode="External"/><Relationship Id="rId322" Type="http://schemas.openxmlformats.org/officeDocument/2006/relationships/hyperlink" Target="https://www.wood-database.com/pacific-yew/" TargetMode="External"/><Relationship Id="rId323" Type="http://schemas.openxmlformats.org/officeDocument/2006/relationships/hyperlink" Target="https://en.wikipedia.org/wiki/Taxus_brevifolia" TargetMode="External"/><Relationship Id="rId324" Type="http://schemas.openxmlformats.org/officeDocument/2006/relationships/hyperlink" Target="https://www.wood-database.com/panga-panga/" TargetMode="External"/><Relationship Id="rId325" Type="http://schemas.openxmlformats.org/officeDocument/2006/relationships/hyperlink" Target="https://en.wikipedia.org/wiki/Millettia_stuhlmannii" TargetMode="External"/><Relationship Id="rId326" Type="http://schemas.openxmlformats.org/officeDocument/2006/relationships/hyperlink" Target="https://www.wood-database.com/partridgewood/" TargetMode="External"/><Relationship Id="rId327" Type="http://schemas.openxmlformats.org/officeDocument/2006/relationships/hyperlink" Target="https://en.wikipedia.org/wiki/Andira_inermis" TargetMode="External"/><Relationship Id="rId328" Type="http://schemas.openxmlformats.org/officeDocument/2006/relationships/hyperlink" Target="https://www.wood-database.com/pau-ferro/" TargetMode="External"/><Relationship Id="rId329" Type="http://schemas.openxmlformats.org/officeDocument/2006/relationships/hyperlink" Target="https://en.wikipedia.org/wiki/Machaerium_scleroxylon" TargetMode="External"/><Relationship Id="rId330" Type="http://schemas.openxmlformats.org/officeDocument/2006/relationships/hyperlink" Target="https://www.wood-database.com/pau-rosa/" TargetMode="External"/><Relationship Id="rId331" Type="http://schemas.openxmlformats.org/officeDocument/2006/relationships/hyperlink" Target="https://en.wikipedia.org/wiki/Bobgunnia" TargetMode="External"/><Relationship Id="rId332" Type="http://schemas.openxmlformats.org/officeDocument/2006/relationships/hyperlink" Target="https://www.wood-database.com/pau-santo/" TargetMode="External"/><Relationship Id="rId333" Type="http://schemas.openxmlformats.org/officeDocument/2006/relationships/hyperlink" Target="https://en.wikipedia.org/wiki/Zollernia" TargetMode="External"/><Relationship Id="rId334" Type="http://schemas.openxmlformats.org/officeDocument/2006/relationships/hyperlink" Target="https://www.wood-database.com/paulownia/" TargetMode="External"/><Relationship Id="rId335" Type="http://schemas.openxmlformats.org/officeDocument/2006/relationships/hyperlink" Target="https://en.wikipedia.org/wiki/Paulownia_tomentosa" TargetMode="External"/><Relationship Id="rId336" Type="http://schemas.openxmlformats.org/officeDocument/2006/relationships/hyperlink" Target="https://www.wood-database.com/pear/" TargetMode="External"/><Relationship Id="rId337" Type="http://schemas.openxmlformats.org/officeDocument/2006/relationships/hyperlink" Target="https://en.wikipedia.org/wiki/Pyrus_communis" TargetMode="External"/><Relationship Id="rId338" Type="http://schemas.openxmlformats.org/officeDocument/2006/relationships/hyperlink" Target="https://www.wood-database.com/pecan/" TargetMode="External"/><Relationship Id="rId339" Type="http://schemas.openxmlformats.org/officeDocument/2006/relationships/hyperlink" Target="https://en.wikipedia.org/wiki/Pecan" TargetMode="External"/><Relationship Id="rId340" Type="http://schemas.openxmlformats.org/officeDocument/2006/relationships/hyperlink" Target="https://www.wood-database.com/persimmon/" TargetMode="External"/><Relationship Id="rId341" Type="http://schemas.openxmlformats.org/officeDocument/2006/relationships/hyperlink" Target="https://en.wikipedia.org/wiki/Diospyros_virginiana" TargetMode="External"/><Relationship Id="rId342" Type="http://schemas.openxmlformats.org/officeDocument/2006/relationships/hyperlink" Target="https://www.wood-database.com/peruvian-walnut/" TargetMode="External"/><Relationship Id="rId343" Type="http://schemas.openxmlformats.org/officeDocument/2006/relationships/hyperlink" Target="https://en.wikipedia.org/wiki/Juglans_boliviana" TargetMode="External"/><Relationship Id="rId344" Type="http://schemas.openxmlformats.org/officeDocument/2006/relationships/hyperlink" Target="https://www.wood-database.com/pheasantwood/" TargetMode="External"/><Relationship Id="rId345" Type="http://schemas.openxmlformats.org/officeDocument/2006/relationships/hyperlink" Target="https://en.wikipedia.org/wiki/Senna_siamea" TargetMode="External"/><Relationship Id="rId346" Type="http://schemas.openxmlformats.org/officeDocument/2006/relationships/hyperlink" Target="https://www.wood-database.com/pignut-hickory/" TargetMode="External"/><Relationship Id="rId347" Type="http://schemas.openxmlformats.org/officeDocument/2006/relationships/hyperlink" Target="https://en.wikipedia.org/wiki/Carya_glabra" TargetMode="External"/><Relationship Id="rId348" Type="http://schemas.openxmlformats.org/officeDocument/2006/relationships/hyperlink" Target="https://www.wood-database.com/plum/" TargetMode="External"/><Relationship Id="rId349" Type="http://schemas.openxmlformats.org/officeDocument/2006/relationships/hyperlink" Target="https://en.wikipedia.org/wiki/Prunus_domestica" TargetMode="External"/><Relationship Id="rId350" Type="http://schemas.openxmlformats.org/officeDocument/2006/relationships/hyperlink" Target="https://www.wood-database.com/ponderosa-pine/" TargetMode="External"/><Relationship Id="rId351" Type="http://schemas.openxmlformats.org/officeDocument/2006/relationships/hyperlink" Target="https://en.wikipedia.org/wiki/Pinus_ponderosa" TargetMode="External"/><Relationship Id="rId352" Type="http://schemas.openxmlformats.org/officeDocument/2006/relationships/hyperlink" Target="https://www.wood-database.com/poplar/" TargetMode="External"/><Relationship Id="rId353" Type="http://schemas.openxmlformats.org/officeDocument/2006/relationships/hyperlink" Target="https://en.wikipedia.org/wiki/Liriodendron_tulipifera" TargetMode="External"/><Relationship Id="rId354" Type="http://schemas.openxmlformats.org/officeDocument/2006/relationships/hyperlink" Target="https://www.wood-database.com/port-orford-cedar/" TargetMode="External"/><Relationship Id="rId355" Type="http://schemas.openxmlformats.org/officeDocument/2006/relationships/hyperlink" Target="https://en.wikipedia.org/wiki/Chamaecyparis_lawsoniana" TargetMode="External"/><Relationship Id="rId356" Type="http://schemas.openxmlformats.org/officeDocument/2006/relationships/hyperlink" Target="https://www.wood-database.com/primavera/" TargetMode="External"/><Relationship Id="rId357" Type="http://schemas.openxmlformats.org/officeDocument/2006/relationships/hyperlink" Target="https://en.wikipedia.org/wiki/Roseodendron" TargetMode="External"/><Relationship Id="rId358" Type="http://schemas.openxmlformats.org/officeDocument/2006/relationships/hyperlink" Target="https://www.wood-database.com/purpleheart/" TargetMode="External"/><Relationship Id="rId359" Type="http://schemas.openxmlformats.org/officeDocument/2006/relationships/hyperlink" Target="https://en.wikipedia.org/wiki/Peltogyne" TargetMode="External"/><Relationship Id="rId360" Type="http://schemas.openxmlformats.org/officeDocument/2006/relationships/hyperlink" Target="https://www.wood-database.com/quaking-aspen/" TargetMode="External"/><Relationship Id="rId361" Type="http://schemas.openxmlformats.org/officeDocument/2006/relationships/hyperlink" Target="https://en.wikipedia.org/wiki/Populus_tremuloides" TargetMode="External"/><Relationship Id="rId362" Type="http://schemas.openxmlformats.org/officeDocument/2006/relationships/hyperlink" Target="https://www.wood-database.com/queensland-maple/" TargetMode="External"/><Relationship Id="rId363" Type="http://schemas.openxmlformats.org/officeDocument/2006/relationships/hyperlink" Target="https://en.wikipedia.org/wiki/Flindersia_brayleyana" TargetMode="External"/><Relationship Id="rId364" Type="http://schemas.openxmlformats.org/officeDocument/2006/relationships/hyperlink" Target="https://www.wood-database.com/queensland-walnut/" TargetMode="External"/><Relationship Id="rId365" Type="http://schemas.openxmlformats.org/officeDocument/2006/relationships/hyperlink" Target="https://en.wikipedia.org/wiki/Endiandra_palmerstonii" TargetMode="External"/><Relationship Id="rId366" Type="http://schemas.openxmlformats.org/officeDocument/2006/relationships/hyperlink" Target="https://www.wood-database.com/radiata-pine/" TargetMode="External"/><Relationship Id="rId367" Type="http://schemas.openxmlformats.org/officeDocument/2006/relationships/hyperlink" Target="https://en.wikipedia.org/wiki/Pinus_radiata" TargetMode="External"/><Relationship Id="rId368" Type="http://schemas.openxmlformats.org/officeDocument/2006/relationships/hyperlink" Target="https://www.wood-database.com/red-alder/" TargetMode="External"/><Relationship Id="rId369" Type="http://schemas.openxmlformats.org/officeDocument/2006/relationships/hyperlink" Target="https://en.wikipedia.org/wiki/Alnus_rubra" TargetMode="External"/><Relationship Id="rId370" Type="http://schemas.openxmlformats.org/officeDocument/2006/relationships/hyperlink" Target="https://www.wood-database.com/red-ash/" TargetMode="External"/><Relationship Id="rId371" Type="http://schemas.openxmlformats.org/officeDocument/2006/relationships/hyperlink" Target="https://en.wikipedia.org/wiki/Alphitonia_excelsa" TargetMode="External"/><Relationship Id="rId372" Type="http://schemas.openxmlformats.org/officeDocument/2006/relationships/hyperlink" Target="https://www.wood-database.com/red-elm/" TargetMode="External"/><Relationship Id="rId373" Type="http://schemas.openxmlformats.org/officeDocument/2006/relationships/hyperlink" Target="https://en.wikipedia.org/wiki/Ulmus_rubra" TargetMode="External"/><Relationship Id="rId374" Type="http://schemas.openxmlformats.org/officeDocument/2006/relationships/hyperlink" Target="https://www.wood-database.com/red-maple/" TargetMode="External"/><Relationship Id="rId375" Type="http://schemas.openxmlformats.org/officeDocument/2006/relationships/hyperlink" Target="https://en.wikipedia.org/wiki/Acer_rubrum" TargetMode="External"/><Relationship Id="rId376" Type="http://schemas.openxmlformats.org/officeDocument/2006/relationships/hyperlink" Target="https://www.wood-database.com/red-oak/" TargetMode="External"/><Relationship Id="rId377" Type="http://schemas.openxmlformats.org/officeDocument/2006/relationships/hyperlink" Target="https://en.wikipedia.org/wiki/Quercus_rubra" TargetMode="External"/><Relationship Id="rId378" Type="http://schemas.openxmlformats.org/officeDocument/2006/relationships/hyperlink" Target="https://www.wood-database.com/red-pine/" TargetMode="External"/><Relationship Id="rId379" Type="http://schemas.openxmlformats.org/officeDocument/2006/relationships/hyperlink" Target="https://en.wikipedia.org/wiki/Pinus_resinosa" TargetMode="External"/><Relationship Id="rId380" Type="http://schemas.openxmlformats.org/officeDocument/2006/relationships/hyperlink" Target="https://www.wood-database.com/red-spruce/" TargetMode="External"/><Relationship Id="rId381" Type="http://schemas.openxmlformats.org/officeDocument/2006/relationships/hyperlink" Target="https://en.wikipedia.org/wiki/Picea_rubens" TargetMode="External"/><Relationship Id="rId382" Type="http://schemas.openxmlformats.org/officeDocument/2006/relationships/hyperlink" Target="https://www.wood-database.com/redheart/" TargetMode="External"/><Relationship Id="rId383" Type="http://schemas.openxmlformats.org/officeDocument/2006/relationships/hyperlink" Target="https://en.wikipedia.org/wiki/Erythroxylum" TargetMode="External"/><Relationship Id="rId384" Type="http://schemas.openxmlformats.org/officeDocument/2006/relationships/hyperlink" Target="https://www.wood-database.com/santos-mahogany/" TargetMode="External"/><Relationship Id="rId385" Type="http://schemas.openxmlformats.org/officeDocument/2006/relationships/hyperlink" Target="https://en.wikipedia.org/wiki/Myroxylon_balsamum" TargetMode="External"/><Relationship Id="rId386" Type="http://schemas.openxmlformats.org/officeDocument/2006/relationships/hyperlink" Target="https://www.wood-database.com/sapele/" TargetMode="External"/><Relationship Id="rId387" Type="http://schemas.openxmlformats.org/officeDocument/2006/relationships/hyperlink" Target="https://en.wikipedia.org/wiki/Sapele" TargetMode="External"/><Relationship Id="rId388" Type="http://schemas.openxmlformats.org/officeDocument/2006/relationships/hyperlink" Target="https://www.wood-database.com/sassafras/" TargetMode="External"/><Relationship Id="rId389" Type="http://schemas.openxmlformats.org/officeDocument/2006/relationships/hyperlink" Target="https://en.wikipedia.org/wiki/Sassafras_albidum" TargetMode="External"/><Relationship Id="rId390" Type="http://schemas.openxmlformats.org/officeDocument/2006/relationships/hyperlink" Target="https://www.wood-database.com/scots-pine/" TargetMode="External"/><Relationship Id="rId391" Type="http://schemas.openxmlformats.org/officeDocument/2006/relationships/hyperlink" Target="https://en.wikipedia.org/wiki/Pinus_sylvestris" TargetMode="External"/><Relationship Id="rId392" Type="http://schemas.openxmlformats.org/officeDocument/2006/relationships/hyperlink" Target="https://www.wood-database.com/shagbark-hickory/" TargetMode="External"/><Relationship Id="rId393" Type="http://schemas.openxmlformats.org/officeDocument/2006/relationships/hyperlink" Target="https://en.wikipedia.org/wiki/Carya_ovata" TargetMode="External"/><Relationship Id="rId394" Type="http://schemas.openxmlformats.org/officeDocument/2006/relationships/hyperlink" Target="https://www.wood-database.com/shortleaf-pine/" TargetMode="External"/><Relationship Id="rId395" Type="http://schemas.openxmlformats.org/officeDocument/2006/relationships/hyperlink" Target="https://en.wikipedia.org/wiki/Pinus_echinata" TargetMode="External"/><Relationship Id="rId396" Type="http://schemas.openxmlformats.org/officeDocument/2006/relationships/hyperlink" Target="https://www.wood-database.com/siam-balsa/" TargetMode="External"/><Relationship Id="rId397" Type="http://schemas.openxmlformats.org/officeDocument/2006/relationships/hyperlink" Target="https://en.wikipedia.org/wiki/Alstonia_spatulata" TargetMode="External"/><Relationship Id="rId398" Type="http://schemas.openxmlformats.org/officeDocument/2006/relationships/hyperlink" Target="https://www.wood-database.com/siamese-rosewood/" TargetMode="External"/><Relationship Id="rId399" Type="http://schemas.openxmlformats.org/officeDocument/2006/relationships/hyperlink" Target="https://en.wikipedia.org/wiki/Dalbergia_cochinchinensis" TargetMode="External"/><Relationship Id="rId400" Type="http://schemas.openxmlformats.org/officeDocument/2006/relationships/hyperlink" Target="https://www.wood-database.com/silver-maple/" TargetMode="External"/><Relationship Id="rId401" Type="http://schemas.openxmlformats.org/officeDocument/2006/relationships/hyperlink" Target="https://en.wikipedia.org/wiki/Acer_saccharinum" TargetMode="External"/><Relationship Id="rId402" Type="http://schemas.openxmlformats.org/officeDocument/2006/relationships/hyperlink" Target="https://www.wood-database.com/sissoo/" TargetMode="External"/><Relationship Id="rId403" Type="http://schemas.openxmlformats.org/officeDocument/2006/relationships/hyperlink" Target="https://en.wikipedia.org/wiki/Dalbergia_sissoo" TargetMode="External"/><Relationship Id="rId404" Type="http://schemas.openxmlformats.org/officeDocument/2006/relationships/hyperlink" Target="https://www.wood-database.com/sitka-spruce/" TargetMode="External"/><Relationship Id="rId405" Type="http://schemas.openxmlformats.org/officeDocument/2006/relationships/hyperlink" Target="https://en.wikipedia.org/wiki/Picea_sitchensis" TargetMode="External"/><Relationship Id="rId406" Type="http://schemas.openxmlformats.org/officeDocument/2006/relationships/hyperlink" Target="https://www.wood-database.com/slash-pine/" TargetMode="External"/><Relationship Id="rId407" Type="http://schemas.openxmlformats.org/officeDocument/2006/relationships/hyperlink" Target="https://en.wikipedia.org/wiki/Pinus_elliottii" TargetMode="External"/><Relationship Id="rId408" Type="http://schemas.openxmlformats.org/officeDocument/2006/relationships/hyperlink" Target="https://www.wood-database.com/snakewood/" TargetMode="External"/><Relationship Id="rId409" Type="http://schemas.openxmlformats.org/officeDocument/2006/relationships/hyperlink" Target="https://en.wikipedia.org/wiki/Brosimum_guianense" TargetMode="External"/><Relationship Id="rId410" Type="http://schemas.openxmlformats.org/officeDocument/2006/relationships/hyperlink" Target="https://www.wood-database.com/southern-redcedar/" TargetMode="External"/><Relationship Id="rId411" Type="http://schemas.openxmlformats.org/officeDocument/2006/relationships/hyperlink" Target="https://en.wikipedia.org/wiki/Juniperus_virginiana" TargetMode="External"/><Relationship Id="rId412" Type="http://schemas.openxmlformats.org/officeDocument/2006/relationships/hyperlink" Target="https://www.wood-database.com/southern-silky-oak/" TargetMode="External"/><Relationship Id="rId413" Type="http://schemas.openxmlformats.org/officeDocument/2006/relationships/hyperlink" Target="https://en.wikipedia.org/wiki/Grevillea_robusta" TargetMode="External"/><Relationship Id="rId414" Type="http://schemas.openxmlformats.org/officeDocument/2006/relationships/hyperlink" Target="https://www.wood-database.com/spanish-cedar/" TargetMode="External"/><Relationship Id="rId415" Type="http://schemas.openxmlformats.org/officeDocument/2006/relationships/hyperlink" Target="https://en.wikipedia.org/wiki/Cedrela_odorata" TargetMode="External"/><Relationship Id="rId416" Type="http://schemas.openxmlformats.org/officeDocument/2006/relationships/hyperlink" Target="https://www.wood-database.com/spruce-pine/" TargetMode="External"/><Relationship Id="rId417" Type="http://schemas.openxmlformats.org/officeDocument/2006/relationships/hyperlink" Target="https://en.wikipedia.org/wiki/Pinus_glabra" TargetMode="External"/><Relationship Id="rId418" Type="http://schemas.openxmlformats.org/officeDocument/2006/relationships/hyperlink" Target="https://www.wood-database.com/striped-maple/" TargetMode="External"/><Relationship Id="rId419" Type="http://schemas.openxmlformats.org/officeDocument/2006/relationships/hyperlink" Target="https://en.wikipedia.org/wiki/Acer_pensylvanicum" TargetMode="External"/><Relationship Id="rId420" Type="http://schemas.openxmlformats.org/officeDocument/2006/relationships/hyperlink" Target="https://www.wood-database.com/subalpine-fir/" TargetMode="External"/><Relationship Id="rId421" Type="http://schemas.openxmlformats.org/officeDocument/2006/relationships/hyperlink" Target="https://en.wikipedia.org/wiki/Abies_lasiocarpa" TargetMode="External"/><Relationship Id="rId422" Type="http://schemas.openxmlformats.org/officeDocument/2006/relationships/hyperlink" Target="https://www.wood-database.com/sugar-pine/" TargetMode="External"/><Relationship Id="rId423" Type="http://schemas.openxmlformats.org/officeDocument/2006/relationships/hyperlink" Target="https://en.wikipedia.org/wiki/Pinus_lambertiana" TargetMode="External"/><Relationship Id="rId424" Type="http://schemas.openxmlformats.org/officeDocument/2006/relationships/hyperlink" Target="https://www.wood-database.com/sugi/" TargetMode="External"/><Relationship Id="rId425" Type="http://schemas.openxmlformats.org/officeDocument/2006/relationships/hyperlink" Target="https://en.wikipedia.org/wiki/Cryptomeria" TargetMode="External"/><Relationship Id="rId426" Type="http://schemas.openxmlformats.org/officeDocument/2006/relationships/hyperlink" Target="https://www.wood-database.com/sweet-cherry/" TargetMode="External"/><Relationship Id="rId427" Type="http://schemas.openxmlformats.org/officeDocument/2006/relationships/hyperlink" Target="https://en.wikipedia.org/wiki/Prunus_avium" TargetMode="External"/><Relationship Id="rId428" Type="http://schemas.openxmlformats.org/officeDocument/2006/relationships/hyperlink" Target="https://www.wood-database.com/sweet-chestnut/" TargetMode="External"/><Relationship Id="rId429" Type="http://schemas.openxmlformats.org/officeDocument/2006/relationships/hyperlink" Target="https://en.wikipedia.org/wiki/Castanea_sativa" TargetMode="External"/><Relationship Id="rId430" Type="http://schemas.openxmlformats.org/officeDocument/2006/relationships/hyperlink" Target="https://www.wood-database.com/sweetbay/" TargetMode="External"/><Relationship Id="rId431" Type="http://schemas.openxmlformats.org/officeDocument/2006/relationships/hyperlink" Target="https://en.wikipedia.org/wiki/Magnolia_virginiana" TargetMode="External"/><Relationship Id="rId432" Type="http://schemas.openxmlformats.org/officeDocument/2006/relationships/hyperlink" Target="https://www.wood-database.com/sweetgum/" TargetMode="External"/><Relationship Id="rId433" Type="http://schemas.openxmlformats.org/officeDocument/2006/relationships/hyperlink" Target="https://en.wikipedia.org/wiki/Liquidambar_styraciflua" TargetMode="External"/><Relationship Id="rId434" Type="http://schemas.openxmlformats.org/officeDocument/2006/relationships/hyperlink" Target="https://www.wood-database.com/sycamore/" TargetMode="External"/><Relationship Id="rId435" Type="http://schemas.openxmlformats.org/officeDocument/2006/relationships/hyperlink" Target="https://en.wikipedia.org/wiki/Platanus_occidentalis" TargetMode="External"/><Relationship Id="rId436" Type="http://schemas.openxmlformats.org/officeDocument/2006/relationships/hyperlink" Target="https://www.wood-database.com/sycamore-maple/" TargetMode="External"/><Relationship Id="rId437" Type="http://schemas.openxmlformats.org/officeDocument/2006/relationships/hyperlink" Target="https://en.wikipedia.org/wiki/Acer_pseudoplatanus" TargetMode="External"/><Relationship Id="rId438" Type="http://schemas.openxmlformats.org/officeDocument/2006/relationships/hyperlink" Target="https://www.wood-database.com/tamo-ash/" TargetMode="External"/><Relationship Id="rId439" Type="http://schemas.openxmlformats.org/officeDocument/2006/relationships/hyperlink" Target="https://en.wikipedia.org/wiki/Fraxinus_mandschurica" TargetMode="External"/><Relationship Id="rId440" Type="http://schemas.openxmlformats.org/officeDocument/2006/relationships/hyperlink" Target="https://www.wood-database.com/tanoak/" TargetMode="External"/><Relationship Id="rId441" Type="http://schemas.openxmlformats.org/officeDocument/2006/relationships/hyperlink" Target="https://en.wikipedia.org/wiki/Notholithocarpus" TargetMode="External"/><Relationship Id="rId442" Type="http://schemas.openxmlformats.org/officeDocument/2006/relationships/hyperlink" Target="https://www.wood-database.com/teak/" TargetMode="External"/><Relationship Id="rId443" Type="http://schemas.openxmlformats.org/officeDocument/2006/relationships/hyperlink" Target="https://en.wikipedia.org/wiki/Teak" TargetMode="External"/><Relationship Id="rId444" Type="http://schemas.openxmlformats.org/officeDocument/2006/relationships/hyperlink" Target="https://www.wood-database.com/texas-ebony/" TargetMode="External"/><Relationship Id="rId445" Type="http://schemas.openxmlformats.org/officeDocument/2006/relationships/hyperlink" Target="https://en.wikipedia.org/wiki/Ebenopsis_ebano" TargetMode="External"/><Relationship Id="rId446" Type="http://schemas.openxmlformats.org/officeDocument/2006/relationships/hyperlink" Target="https://www.wood-database.com/brazilian-tulipwood/" TargetMode="External"/><Relationship Id="rId447" Type="http://schemas.openxmlformats.org/officeDocument/2006/relationships/hyperlink" Target="https://en.wikipedia.org/wiki/Tulipwood" TargetMode="External"/><Relationship Id="rId448" Type="http://schemas.openxmlformats.org/officeDocument/2006/relationships/hyperlink" Target="https://www.wood-database.com/tzalam/" TargetMode="External"/><Relationship Id="rId449" Type="http://schemas.openxmlformats.org/officeDocument/2006/relationships/hyperlink" Target="https://en.wikipedia.org/wiki/Sabicu_wood" TargetMode="External"/><Relationship Id="rId450" Type="http://schemas.openxmlformats.org/officeDocument/2006/relationships/hyperlink" Target="https://www.wood-database.com/utile/" TargetMode="External"/><Relationship Id="rId451" Type="http://schemas.openxmlformats.org/officeDocument/2006/relationships/hyperlink" Target="https://en.wikipedia.org/wiki/Entandrophragma_utile" TargetMode="External"/><Relationship Id="rId452" Type="http://schemas.openxmlformats.org/officeDocument/2006/relationships/hyperlink" Target="https://www.wood-database.com/verawood/" TargetMode="External"/><Relationship Id="rId453" Type="http://schemas.openxmlformats.org/officeDocument/2006/relationships/hyperlink" Target="https://en.wikipedia.org/wiki/Bulnesia_arborea" TargetMode="External"/><Relationship Id="rId454" Type="http://schemas.openxmlformats.org/officeDocument/2006/relationships/hyperlink" Target="https://www.wood-database.com/wamara/" TargetMode="External"/><Relationship Id="rId455" Type="http://schemas.openxmlformats.org/officeDocument/2006/relationships/hyperlink" Target="https://en.wikipedia.org/wiki/Swartzia" TargetMode="External"/><Relationship Id="rId456" Type="http://schemas.openxmlformats.org/officeDocument/2006/relationships/hyperlink" Target="https://www.wood-database.com/wenge/" TargetMode="External"/><Relationship Id="rId457" Type="http://schemas.openxmlformats.org/officeDocument/2006/relationships/hyperlink" Target="https://en.wikipedia.org/wiki/Millettia_laurentii" TargetMode="External"/><Relationship Id="rId458" Type="http://schemas.openxmlformats.org/officeDocument/2006/relationships/hyperlink" Target="https://www.wood-database.com/western-hemlock/" TargetMode="External"/><Relationship Id="rId459" Type="http://schemas.openxmlformats.org/officeDocument/2006/relationships/hyperlink" Target="https://en.wikipedia.org/wiki/Tsuga_heterophylla" TargetMode="External"/><Relationship Id="rId460" Type="http://schemas.openxmlformats.org/officeDocument/2006/relationships/hyperlink" Target="https://juniper.oregonstate.edu/factsheet" TargetMode="External"/><Relationship Id="rId461" Type="http://schemas.openxmlformats.org/officeDocument/2006/relationships/hyperlink" Target="https://en.wikipedia.org/wiki/Juniperus_occidentalis" TargetMode="External"/><Relationship Id="rId462" Type="http://schemas.openxmlformats.org/officeDocument/2006/relationships/hyperlink" Target="https://www.wood-database.com/western-juniper/" TargetMode="External"/><Relationship Id="rId463" Type="http://schemas.openxmlformats.org/officeDocument/2006/relationships/hyperlink" Target="https://en.wikipedia.org/wiki/Juniperus_occidentalis" TargetMode="External"/><Relationship Id="rId464" Type="http://schemas.openxmlformats.org/officeDocument/2006/relationships/hyperlink" Target="https://www.wood-database.com/western-larch/" TargetMode="External"/><Relationship Id="rId465" Type="http://schemas.openxmlformats.org/officeDocument/2006/relationships/hyperlink" Target="https://en.wikipedia.org/wiki/Western_larch" TargetMode="External"/><Relationship Id="rId466" Type="http://schemas.openxmlformats.org/officeDocument/2006/relationships/hyperlink" Target="https://www.wood-database.com/western-red-cedar/" TargetMode="External"/><Relationship Id="rId467" Type="http://schemas.openxmlformats.org/officeDocument/2006/relationships/hyperlink" Target="https://en.wikipedia.org/wiki/Thuja_plicata" TargetMode="External"/><Relationship Id="rId468" Type="http://schemas.openxmlformats.org/officeDocument/2006/relationships/hyperlink" Target="https://www.wood-database.com/western-white-pine/" TargetMode="External"/><Relationship Id="rId469" Type="http://schemas.openxmlformats.org/officeDocument/2006/relationships/hyperlink" Target="https://en.wikipedia.org/wiki/Western_white_pine" TargetMode="External"/><Relationship Id="rId470" Type="http://schemas.openxmlformats.org/officeDocument/2006/relationships/hyperlink" Target="https://www.wood-database.com/white-ash/" TargetMode="External"/><Relationship Id="rId471" Type="http://schemas.openxmlformats.org/officeDocument/2006/relationships/hyperlink" Target="https://en.wikipedia.org/wiki/Fraxinus_americana" TargetMode="External"/><Relationship Id="rId472" Type="http://schemas.openxmlformats.org/officeDocument/2006/relationships/hyperlink" Target="https://www.wood-database.com/white-fir/" TargetMode="External"/><Relationship Id="rId473" Type="http://schemas.openxmlformats.org/officeDocument/2006/relationships/hyperlink" Target="https://en.wikipedia.org/wiki/Abies_concolor" TargetMode="External"/><Relationship Id="rId474" Type="http://schemas.openxmlformats.org/officeDocument/2006/relationships/hyperlink" Target="https://www.wood-database.com/white-oak/" TargetMode="External"/><Relationship Id="rId475" Type="http://schemas.openxmlformats.org/officeDocument/2006/relationships/hyperlink" Target="https://en.wikipedia.org/wiki/Quercus_alba" TargetMode="External"/><Relationship Id="rId476" Type="http://schemas.openxmlformats.org/officeDocument/2006/relationships/hyperlink" Target="https://www.wood-database.com/white-poplar/" TargetMode="External"/><Relationship Id="rId477" Type="http://schemas.openxmlformats.org/officeDocument/2006/relationships/hyperlink" Target="https://en.wikipedia.org/wiki/Populus_alba" TargetMode="External"/><Relationship Id="rId478" Type="http://schemas.openxmlformats.org/officeDocument/2006/relationships/hyperlink" Target="https://www.wood-database.com/white-spruce/" TargetMode="External"/><Relationship Id="rId479" Type="http://schemas.openxmlformats.org/officeDocument/2006/relationships/hyperlink" Target="https://en.wikipedia.org/wiki/Picea_glauca" TargetMode="External"/><Relationship Id="rId480" Type="http://schemas.openxmlformats.org/officeDocument/2006/relationships/hyperlink" Target="https://www.wood-database.com/white-willow/" TargetMode="External"/><Relationship Id="rId481" Type="http://schemas.openxmlformats.org/officeDocument/2006/relationships/hyperlink" Target="https://en.wikipedia.org/wiki/Salix_alba" TargetMode="External"/><Relationship Id="rId482" Type="http://schemas.openxmlformats.org/officeDocument/2006/relationships/hyperlink" Target="https://www.wood-database.com/yellow-birch/" TargetMode="External"/><Relationship Id="rId483" Type="http://schemas.openxmlformats.org/officeDocument/2006/relationships/hyperlink" Target="https://en.wikipedia.org/wiki/Betula_alleghaniensis" TargetMode="External"/><Relationship Id="rId484" Type="http://schemas.openxmlformats.org/officeDocument/2006/relationships/hyperlink" Target="https://www.wood-database.com/yellow-buckeye/" TargetMode="External"/><Relationship Id="rId485" Type="http://schemas.openxmlformats.org/officeDocument/2006/relationships/hyperlink" Target="https://en.wikipedia.org/wiki/Aesculus_flava" TargetMode="External"/><Relationship Id="rId486" Type="http://schemas.openxmlformats.org/officeDocument/2006/relationships/hyperlink" Target="https://www.wood-database.com/yellowheart/" TargetMode="External"/><Relationship Id="rId487" Type="http://schemas.openxmlformats.org/officeDocument/2006/relationships/hyperlink" Target="https://en.wikipedia.org/wiki/Euxylophora" TargetMode="External"/><Relationship Id="rId488" Type="http://schemas.openxmlformats.org/officeDocument/2006/relationships/hyperlink" Target="https://www.wood-database.com/yucatan-rosewood/" TargetMode="External"/><Relationship Id="rId489" Type="http://schemas.openxmlformats.org/officeDocument/2006/relationships/hyperlink" Target="https://en.wikipedia.org/wiki/Pterocarpus_indicus" TargetMode="External"/><Relationship Id="rId490" Type="http://schemas.openxmlformats.org/officeDocument/2006/relationships/hyperlink" Target="https://www.wood-database.com/zebrawood/" TargetMode="External"/><Relationship Id="rId491" Type="http://schemas.openxmlformats.org/officeDocument/2006/relationships/hyperlink" Target="https://en.wikipedia.org/wiki/Microberlinia_brazzavillensis" TargetMode="External"/><Relationship Id="rId492" Type="http://schemas.openxmlformats.org/officeDocument/2006/relationships/hyperlink" Target="https://www.wood-database.com/ziricote/" TargetMode="External"/><Relationship Id="rId493" Type="http://schemas.openxmlformats.org/officeDocument/2006/relationships/hyperlink" Target="https://en.wikipedia.org/wiki/Cordia_dodecandr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EI1048576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U5" activeCellId="0" sqref="U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1" width="30.36"/>
    <col collapsed="false" customWidth="true" hidden="false" outlineLevel="0" max="3" min="3" style="1" width="8.25"/>
    <col collapsed="false" customWidth="true" hidden="false" outlineLevel="0" max="4" min="4" style="1" width="7.38"/>
    <col collapsed="false" customWidth="true" hidden="false" outlineLevel="0" max="5" min="5" style="1" width="7.5"/>
    <col collapsed="false" customWidth="true" hidden="false" outlineLevel="0" max="6" min="6" style="1" width="6.38"/>
    <col collapsed="false" customWidth="true" hidden="false" outlineLevel="0" max="7" min="7" style="1" width="13.07"/>
    <col collapsed="false" customWidth="true" hidden="false" outlineLevel="0" max="9" min="8" style="1" width="16.43"/>
    <col collapsed="false" customWidth="true" hidden="false" outlineLevel="0" max="10" min="10" style="1" width="12.79"/>
    <col collapsed="false" customWidth="true" hidden="false" outlineLevel="0" max="11" min="11" style="1" width="13.07"/>
    <col collapsed="false" customWidth="true" hidden="false" outlineLevel="0" max="13" min="12" style="1" width="5.63"/>
    <col collapsed="false" customWidth="true" hidden="false" outlineLevel="0" max="14" min="14" style="1" width="6.12"/>
    <col collapsed="false" customWidth="true" hidden="false" outlineLevel="0" max="15" min="15" style="1" width="33.65"/>
    <col collapsed="false" customWidth="true" hidden="false" outlineLevel="0" max="16" min="16" style="1" width="14.67"/>
    <col collapsed="false" customWidth="true" hidden="false" outlineLevel="0" max="17" min="17" style="1" width="18"/>
    <col collapsed="false" customWidth="true" hidden="false" outlineLevel="0" max="18" min="18" style="1" width="47.64"/>
    <col collapsed="false" customWidth="true" hidden="false" outlineLevel="0" max="19" min="19" style="1" width="26.89"/>
    <col collapsed="false" customWidth="true" hidden="false" outlineLevel="0" max="16363" min="16362" style="0" width="11.53"/>
    <col collapsed="false" customWidth="true" hidden="false" outlineLevel="0" max="16384" min="16364" style="1" width="11.53"/>
  </cols>
  <sheetData>
    <row r="1" s="2" customFormat="true" ht="21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7" t="s">
        <v>7</v>
      </c>
      <c r="I1" s="7" t="s">
        <v>7</v>
      </c>
      <c r="J1" s="8" t="s">
        <v>8</v>
      </c>
      <c r="K1" s="8" t="s">
        <v>9</v>
      </c>
      <c r="L1" s="9" t="s">
        <v>10</v>
      </c>
      <c r="M1" s="9" t="s">
        <v>11</v>
      </c>
      <c r="N1" s="10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1" t="s">
        <v>17</v>
      </c>
      <c r="T1" s="2" t="s">
        <v>18</v>
      </c>
      <c r="U1" s="2" t="s">
        <v>19</v>
      </c>
      <c r="XEH1" s="0"/>
      <c r="XEI1" s="0"/>
    </row>
    <row r="2" s="2" customFormat="true" ht="15.75" hidden="false" customHeight="true" outlineLevel="0" collapsed="false">
      <c r="B2" s="3" t="s">
        <v>20</v>
      </c>
      <c r="C2" s="10" t="s">
        <v>21</v>
      </c>
      <c r="D2" s="12"/>
      <c r="E2" s="10"/>
      <c r="F2" s="10" t="s">
        <v>22</v>
      </c>
      <c r="G2" s="13" t="s">
        <v>23</v>
      </c>
      <c r="H2" s="14" t="s">
        <v>24</v>
      </c>
      <c r="I2" s="14" t="s">
        <v>25</v>
      </c>
      <c r="J2" s="15" t="s">
        <v>22</v>
      </c>
      <c r="K2" s="15" t="s">
        <v>22</v>
      </c>
      <c r="L2" s="10" t="s">
        <v>26</v>
      </c>
      <c r="M2" s="10" t="s">
        <v>26</v>
      </c>
      <c r="N2" s="10" t="s">
        <v>26</v>
      </c>
      <c r="S2" s="16"/>
      <c r="T2" s="2" t="s">
        <v>27</v>
      </c>
      <c r="U2" s="2" t="s">
        <v>27</v>
      </c>
      <c r="XEH2" s="0"/>
      <c r="XEI2" s="0"/>
    </row>
    <row r="3" s="2" customFormat="true" ht="15.75" hidden="false" customHeight="true" outlineLevel="0" collapsed="false">
      <c r="B3" s="3" t="s">
        <v>28</v>
      </c>
      <c r="C3" s="10"/>
      <c r="D3" s="12" t="s">
        <v>29</v>
      </c>
      <c r="E3" s="10" t="s">
        <v>30</v>
      </c>
      <c r="F3" s="10" t="s">
        <v>31</v>
      </c>
      <c r="G3" s="13" t="s">
        <v>32</v>
      </c>
      <c r="H3" s="14"/>
      <c r="I3" s="14"/>
      <c r="J3" s="15" t="s">
        <v>33</v>
      </c>
      <c r="K3" s="15" t="s">
        <v>33</v>
      </c>
      <c r="L3" s="9" t="s">
        <v>34</v>
      </c>
      <c r="M3" s="9" t="s">
        <v>34</v>
      </c>
      <c r="N3" s="9" t="s">
        <v>34</v>
      </c>
      <c r="S3" s="16"/>
      <c r="XEH3" s="0"/>
      <c r="XEI3" s="0"/>
    </row>
    <row r="4" s="2" customFormat="true" ht="15.75" hidden="false" customHeight="true" outlineLevel="0" collapsed="false">
      <c r="B4" s="17" t="s">
        <v>35</v>
      </c>
      <c r="C4" s="17" t="s">
        <v>36</v>
      </c>
      <c r="D4" s="18" t="s">
        <v>37</v>
      </c>
      <c r="E4" s="19" t="s">
        <v>38</v>
      </c>
      <c r="F4" s="19" t="s">
        <v>39</v>
      </c>
      <c r="G4" s="20" t="s">
        <v>40</v>
      </c>
      <c r="H4" s="21" t="s">
        <v>41</v>
      </c>
      <c r="I4" s="21" t="s">
        <v>42</v>
      </c>
      <c r="J4" s="22" t="s">
        <v>43</v>
      </c>
      <c r="K4" s="22" t="s">
        <v>44</v>
      </c>
      <c r="L4" s="17" t="s">
        <v>45</v>
      </c>
      <c r="M4" s="17" t="s">
        <v>46</v>
      </c>
      <c r="N4" s="19" t="s">
        <v>47</v>
      </c>
      <c r="S4" s="23"/>
      <c r="XEH4" s="0"/>
      <c r="XEI4" s="0"/>
    </row>
    <row r="5" s="2" customFormat="true" ht="35.25" hidden="false" customHeight="true" outlineLevel="0" collapsed="false">
      <c r="A5" s="24" t="s">
        <v>48</v>
      </c>
      <c r="B5" s="4" t="s">
        <v>49</v>
      </c>
      <c r="C5" s="25"/>
      <c r="D5" s="26" t="n">
        <v>0</v>
      </c>
      <c r="E5" s="10" t="n">
        <v>8760</v>
      </c>
      <c r="F5" s="10" t="n">
        <v>745</v>
      </c>
      <c r="G5" s="13" t="n">
        <v>11.72</v>
      </c>
      <c r="H5" s="14" t="n">
        <f aca="false">VlrBack</f>
        <v>0.375692307692308</v>
      </c>
      <c r="I5" s="14" t="n">
        <f aca="false">VrlBack</f>
        <v>0.056</v>
      </c>
      <c r="J5" s="15" t="n">
        <v>116</v>
      </c>
      <c r="K5" s="15" t="n">
        <v>56</v>
      </c>
      <c r="L5" s="9" t="n">
        <v>0.033</v>
      </c>
      <c r="M5" s="9" t="n">
        <v>0.052</v>
      </c>
      <c r="N5" s="9" t="n">
        <v>0.076</v>
      </c>
      <c r="O5" s="2" t="s">
        <v>50</v>
      </c>
      <c r="P5" s="24" t="s">
        <v>51</v>
      </c>
      <c r="Q5" s="24"/>
      <c r="R5" s="2" t="s">
        <v>52</v>
      </c>
      <c r="S5" s="27" t="s">
        <v>53</v>
      </c>
      <c r="XEH5" s="0"/>
      <c r="XEI5" s="0"/>
    </row>
    <row r="6" s="2" customFormat="true" ht="35.25" hidden="false" customHeight="true" outlineLevel="0" collapsed="false">
      <c r="A6" s="24" t="s">
        <v>54</v>
      </c>
      <c r="B6" s="4" t="s">
        <v>55</v>
      </c>
      <c r="C6" s="25"/>
      <c r="D6" s="12"/>
      <c r="E6" s="10" t="n">
        <v>6980</v>
      </c>
      <c r="F6" s="10" t="n">
        <v>725</v>
      </c>
      <c r="G6" s="13" t="n">
        <v>11.83</v>
      </c>
      <c r="H6" s="14" t="n">
        <f aca="false">VlrBack</f>
        <v>0.375692307692308</v>
      </c>
      <c r="I6" s="14" t="n">
        <f aca="false">VrlBack</f>
        <v>0.056</v>
      </c>
      <c r="J6" s="15" t="n">
        <v>102.9</v>
      </c>
      <c r="K6" s="15" t="n">
        <v>66</v>
      </c>
      <c r="L6" s="9" t="n">
        <v>0.032</v>
      </c>
      <c r="M6" s="9" t="n">
        <v>0.062</v>
      </c>
      <c r="N6" s="9" t="n">
        <v>0.099</v>
      </c>
      <c r="O6" s="2" t="s">
        <v>56</v>
      </c>
      <c r="P6" s="24" t="s">
        <v>57</v>
      </c>
      <c r="Q6" s="24"/>
      <c r="R6" s="2" t="s">
        <v>58</v>
      </c>
      <c r="S6" s="27" t="s">
        <v>59</v>
      </c>
      <c r="XEH6" s="0"/>
      <c r="XEI6" s="0"/>
    </row>
    <row r="7" s="2" customFormat="true" ht="35.25" hidden="false" customHeight="true" outlineLevel="0" collapsed="false">
      <c r="A7" s="24" t="s">
        <v>60</v>
      </c>
      <c r="B7" s="4" t="s">
        <v>61</v>
      </c>
      <c r="C7" s="28" t="s">
        <v>62</v>
      </c>
      <c r="D7" s="12" t="n">
        <v>0</v>
      </c>
      <c r="E7" s="10" t="n">
        <v>2580</v>
      </c>
      <c r="F7" s="10" t="n">
        <v>495</v>
      </c>
      <c r="G7" s="13" t="n">
        <v>9.79</v>
      </c>
      <c r="H7" s="14" t="n">
        <f aca="false">VlrTop</f>
        <v>0.385571428571429</v>
      </c>
      <c r="I7" s="14" t="n">
        <f aca="false">VrlTop</f>
        <v>0.048</v>
      </c>
      <c r="J7" s="15" t="n">
        <v>76.6</v>
      </c>
      <c r="K7" s="15" t="n">
        <v>43.5</v>
      </c>
      <c r="L7" s="9" t="n">
        <v>0.028</v>
      </c>
      <c r="M7" s="9" t="n">
        <v>0.06</v>
      </c>
      <c r="N7" s="9" t="n">
        <v>0.092</v>
      </c>
      <c r="O7" s="2" t="s">
        <v>63</v>
      </c>
      <c r="P7" s="24" t="s">
        <v>64</v>
      </c>
      <c r="Q7" s="24"/>
      <c r="R7" s="2" t="s">
        <v>65</v>
      </c>
      <c r="S7" s="27" t="s">
        <v>66</v>
      </c>
      <c r="XEH7" s="0"/>
      <c r="XEI7" s="0"/>
    </row>
    <row r="8" s="2" customFormat="true" ht="24" hidden="false" customHeight="true" outlineLevel="0" collapsed="false">
      <c r="A8" s="24" t="s">
        <v>67</v>
      </c>
      <c r="B8" s="4" t="s">
        <v>68</v>
      </c>
      <c r="C8" s="25"/>
      <c r="D8" s="26" t="n">
        <v>0</v>
      </c>
      <c r="E8" s="10" t="n">
        <v>11990</v>
      </c>
      <c r="F8" s="10" t="n">
        <v>1085</v>
      </c>
      <c r="G8" s="13" t="n">
        <v>12.9</v>
      </c>
      <c r="H8" s="14" t="n">
        <f aca="false">VlrBack</f>
        <v>0.375692307692308</v>
      </c>
      <c r="I8" s="14" t="n">
        <f aca="false">VrlBack</f>
        <v>0.056</v>
      </c>
      <c r="J8" s="15" t="n">
        <v>116.9</v>
      </c>
      <c r="K8" s="15" t="n">
        <v>58</v>
      </c>
      <c r="L8" s="9" t="n">
        <v>0.036</v>
      </c>
      <c r="M8" s="9" t="n">
        <v>0.064</v>
      </c>
      <c r="N8" s="9" t="n">
        <v>0.1</v>
      </c>
      <c r="O8" s="2" t="s">
        <v>69</v>
      </c>
      <c r="P8" s="24" t="s">
        <v>70</v>
      </c>
      <c r="Q8" s="24"/>
      <c r="R8" s="2" t="s">
        <v>71</v>
      </c>
      <c r="S8" s="23"/>
      <c r="XEH8" s="0"/>
      <c r="XEI8" s="0"/>
    </row>
    <row r="9" s="2" customFormat="true" ht="15.75" hidden="false" customHeight="true" outlineLevel="0" collapsed="false">
      <c r="A9" s="24" t="s">
        <v>72</v>
      </c>
      <c r="B9" s="4" t="s">
        <v>73</v>
      </c>
      <c r="C9" s="25"/>
      <c r="D9" s="26" t="n">
        <v>0.75</v>
      </c>
      <c r="E9" s="10" t="n">
        <v>5780</v>
      </c>
      <c r="F9" s="10" t="n">
        <v>720</v>
      </c>
      <c r="G9" s="13" t="n">
        <v>11.86</v>
      </c>
      <c r="H9" s="14" t="n">
        <f aca="false">VlrBack</f>
        <v>0.375692307692308</v>
      </c>
      <c r="I9" s="14" t="n">
        <f aca="false">VrlBack</f>
        <v>0.056</v>
      </c>
      <c r="J9" s="15" t="n">
        <v>102.8</v>
      </c>
      <c r="K9" s="15" t="n">
        <v>51.1</v>
      </c>
      <c r="L9" s="9" t="n">
        <v>0.055</v>
      </c>
      <c r="M9" s="9" t="n">
        <v>0.119</v>
      </c>
      <c r="N9" s="9" t="n">
        <v>0.172</v>
      </c>
      <c r="O9" s="2" t="s">
        <v>74</v>
      </c>
      <c r="P9" s="24" t="s">
        <v>75</v>
      </c>
      <c r="Q9" s="24"/>
      <c r="R9" s="2" t="s">
        <v>76</v>
      </c>
      <c r="S9" s="27" t="s">
        <v>77</v>
      </c>
      <c r="XEH9" s="0"/>
      <c r="XEI9" s="0"/>
    </row>
    <row r="10" s="2" customFormat="true" ht="24" hidden="false" customHeight="true" outlineLevel="0" collapsed="false">
      <c r="A10" s="24" t="s">
        <v>78</v>
      </c>
      <c r="B10" s="4" t="s">
        <v>79</v>
      </c>
      <c r="C10" s="25"/>
      <c r="D10" s="12" t="n">
        <v>0.56</v>
      </c>
      <c r="E10" s="10" t="n">
        <v>2400</v>
      </c>
      <c r="F10" s="10" t="n">
        <v>480</v>
      </c>
      <c r="G10" s="13" t="n">
        <v>8.48</v>
      </c>
      <c r="H10" s="14" t="n">
        <f aca="false">VlrTop</f>
        <v>0.385571428571429</v>
      </c>
      <c r="I10" s="14" t="n">
        <f aca="false">VrlTop</f>
        <v>0.048</v>
      </c>
      <c r="J10" s="15" t="n">
        <v>59.3</v>
      </c>
      <c r="K10" s="15" t="n">
        <v>36.7</v>
      </c>
      <c r="L10" s="9" t="n">
        <v>0.034</v>
      </c>
      <c r="M10" s="9" t="n">
        <v>0.067</v>
      </c>
      <c r="N10" s="9" t="n">
        <v>0.116</v>
      </c>
      <c r="O10" s="2" t="s">
        <v>80</v>
      </c>
      <c r="P10" s="24" t="s">
        <v>81</v>
      </c>
      <c r="Q10" s="24"/>
      <c r="R10" s="2" t="s">
        <v>82</v>
      </c>
      <c r="S10" s="27" t="s">
        <v>83</v>
      </c>
      <c r="XEH10" s="0"/>
      <c r="XEI10" s="0"/>
    </row>
    <row r="11" s="2" customFormat="true" ht="35.25" hidden="false" customHeight="true" outlineLevel="0" collapsed="false">
      <c r="A11" s="24" t="s">
        <v>84</v>
      </c>
      <c r="B11" s="4" t="s">
        <v>85</v>
      </c>
      <c r="C11" s="25"/>
      <c r="D11" s="26" t="n">
        <v>0.74</v>
      </c>
      <c r="E11" s="10" t="n">
        <v>3690</v>
      </c>
      <c r="F11" s="10" t="n">
        <v>560</v>
      </c>
      <c r="G11" s="13" t="n">
        <v>9.24</v>
      </c>
      <c r="H11" s="14" t="n">
        <f aca="false">VlrBack</f>
        <v>0.375692307692308</v>
      </c>
      <c r="I11" s="14" t="n">
        <f aca="false">VrlBack</f>
        <v>0.056</v>
      </c>
      <c r="J11" s="15" t="n">
        <v>81.4</v>
      </c>
      <c r="K11" s="15" t="n">
        <v>38.1</v>
      </c>
      <c r="L11" s="9" t="n">
        <v>0.042</v>
      </c>
      <c r="M11" s="9" t="n">
        <v>0.095</v>
      </c>
      <c r="N11" s="9" t="n">
        <v>0.146</v>
      </c>
      <c r="O11" s="2" t="s">
        <v>86</v>
      </c>
      <c r="P11" s="24" t="s">
        <v>87</v>
      </c>
      <c r="Q11" s="24"/>
      <c r="R11" s="2" t="s">
        <v>88</v>
      </c>
      <c r="S11" s="27" t="s">
        <v>89</v>
      </c>
      <c r="XEH11" s="0"/>
      <c r="XEI11" s="0"/>
    </row>
    <row r="12" s="2" customFormat="true" ht="15.75" hidden="false" customHeight="true" outlineLevel="0" collapsed="false">
      <c r="A12" s="24" t="s">
        <v>90</v>
      </c>
      <c r="B12" s="4" t="s">
        <v>91</v>
      </c>
      <c r="C12" s="25"/>
      <c r="D12" s="12"/>
      <c r="E12" s="10" t="n">
        <v>1910</v>
      </c>
      <c r="F12" s="10" t="n">
        <v>385</v>
      </c>
      <c r="G12" s="13" t="n">
        <v>7.81</v>
      </c>
      <c r="H12" s="14" t="n">
        <f aca="false">VlrTop</f>
        <v>0.385571428571429</v>
      </c>
      <c r="I12" s="14" t="n">
        <f aca="false">VrlTop</f>
        <v>0.048</v>
      </c>
      <c r="J12" s="15" t="n">
        <v>51.2</v>
      </c>
      <c r="K12" s="15" t="n">
        <v>29</v>
      </c>
      <c r="L12" s="9" t="n">
        <v>0.035</v>
      </c>
      <c r="M12" s="9" t="n">
        <v>0.068</v>
      </c>
      <c r="N12" s="9" t="n">
        <v>0.112</v>
      </c>
      <c r="O12" s="2" t="s">
        <v>92</v>
      </c>
      <c r="P12" s="24" t="s">
        <v>93</v>
      </c>
      <c r="Q12" s="24"/>
      <c r="R12" s="2" t="s">
        <v>94</v>
      </c>
      <c r="S12" s="27" t="s">
        <v>95</v>
      </c>
      <c r="XEH12" s="0"/>
      <c r="XEI12" s="0"/>
    </row>
    <row r="13" s="2" customFormat="true" ht="35.25" hidden="false" customHeight="true" outlineLevel="0" collapsed="false">
      <c r="A13" s="24" t="s">
        <v>96</v>
      </c>
      <c r="B13" s="4" t="s">
        <v>97</v>
      </c>
      <c r="C13" s="25"/>
      <c r="D13" s="12"/>
      <c r="E13" s="10" t="n">
        <v>4380</v>
      </c>
      <c r="F13" s="10" t="n">
        <v>550</v>
      </c>
      <c r="G13" s="13" t="n">
        <v>10.95</v>
      </c>
      <c r="H13" s="14" t="n">
        <f aca="false">VlrBack</f>
        <v>0.375692307692308</v>
      </c>
      <c r="I13" s="14" t="n">
        <f aca="false">VrlBack</f>
        <v>0.056</v>
      </c>
      <c r="J13" s="15" t="n">
        <v>83</v>
      </c>
      <c r="K13" s="15" t="n">
        <v>47.7</v>
      </c>
      <c r="L13" s="9" t="n">
        <v>0.038</v>
      </c>
      <c r="M13" s="9" t="n">
        <v>0.07</v>
      </c>
      <c r="N13" s="9" t="n">
        <v>0.118</v>
      </c>
      <c r="O13" s="2" t="s">
        <v>98</v>
      </c>
      <c r="P13" s="24" t="s">
        <v>99</v>
      </c>
      <c r="Q13" s="24"/>
      <c r="R13" s="2" t="s">
        <v>100</v>
      </c>
      <c r="S13" s="27" t="s">
        <v>101</v>
      </c>
      <c r="XEH13" s="0"/>
      <c r="XEI13" s="0"/>
    </row>
    <row r="14" s="2" customFormat="true" ht="69.75" hidden="false" customHeight="true" outlineLevel="0" collapsed="false">
      <c r="A14" s="24" t="s">
        <v>102</v>
      </c>
      <c r="B14" s="4" t="s">
        <v>103</v>
      </c>
      <c r="C14" s="25"/>
      <c r="D14" s="12" t="n">
        <v>0</v>
      </c>
      <c r="E14" s="10" t="n">
        <v>7700</v>
      </c>
      <c r="F14" s="10" t="n">
        <v>830</v>
      </c>
      <c r="G14" s="13" t="n">
        <v>8.76</v>
      </c>
      <c r="H14" s="14" t="n">
        <f aca="false">VlrBack</f>
        <v>0.375692307692308</v>
      </c>
      <c r="I14" s="14" t="n">
        <f aca="false">VrlBack</f>
        <v>0.056</v>
      </c>
      <c r="J14" s="15" t="n">
        <v>88.3</v>
      </c>
      <c r="K14" s="15" t="n">
        <v>41.6</v>
      </c>
      <c r="L14" s="9" t="n">
        <v>0.056</v>
      </c>
      <c r="M14" s="9" t="n">
        <v>0.101</v>
      </c>
      <c r="N14" s="9" t="n">
        <v>0.176</v>
      </c>
      <c r="O14" s="2" t="s">
        <v>104</v>
      </c>
      <c r="P14" s="24" t="s">
        <v>105</v>
      </c>
      <c r="Q14" s="24"/>
      <c r="R14" s="2" t="s">
        <v>106</v>
      </c>
      <c r="S14" s="27" t="s">
        <v>107</v>
      </c>
      <c r="XEH14" s="0"/>
      <c r="XEI14" s="0"/>
    </row>
    <row r="15" s="2" customFormat="true" ht="24" hidden="false" customHeight="true" outlineLevel="0" collapsed="false">
      <c r="A15" s="24" t="s">
        <v>108</v>
      </c>
      <c r="B15" s="4" t="s">
        <v>109</v>
      </c>
      <c r="C15" s="25"/>
      <c r="D15" s="12" t="n">
        <v>0</v>
      </c>
      <c r="E15" s="10" t="n">
        <v>6200</v>
      </c>
      <c r="F15" s="10" t="n">
        <v>745</v>
      </c>
      <c r="G15" s="13"/>
      <c r="H15" s="14" t="n">
        <f aca="false">VlrBack</f>
        <v>0.375692307692308</v>
      </c>
      <c r="I15" s="14" t="n">
        <f aca="false">VrlBack</f>
        <v>0.056</v>
      </c>
      <c r="J15" s="15"/>
      <c r="K15" s="15"/>
      <c r="L15" s="9"/>
      <c r="M15" s="9"/>
      <c r="N15" s="9"/>
      <c r="O15" s="2" t="s">
        <v>110</v>
      </c>
      <c r="P15" s="24" t="s">
        <v>111</v>
      </c>
      <c r="Q15" s="24"/>
      <c r="R15" s="2" t="s">
        <v>112</v>
      </c>
      <c r="S15" s="27" t="s">
        <v>113</v>
      </c>
      <c r="XEH15" s="0"/>
      <c r="XEI15" s="0"/>
    </row>
    <row r="16" s="2" customFormat="true" ht="46.5" hidden="false" customHeight="true" outlineLevel="0" collapsed="false">
      <c r="A16" s="24" t="s">
        <v>114</v>
      </c>
      <c r="B16" s="4" t="s">
        <v>115</v>
      </c>
      <c r="C16" s="28" t="s">
        <v>62</v>
      </c>
      <c r="D16" s="12"/>
      <c r="E16" s="10" t="n">
        <v>1560</v>
      </c>
      <c r="F16" s="10" t="n">
        <v>380</v>
      </c>
      <c r="G16" s="13" t="n">
        <v>6.41</v>
      </c>
      <c r="H16" s="14" t="n">
        <f aca="false">VlrTop</f>
        <v>0.385571428571429</v>
      </c>
      <c r="I16" s="14" t="n">
        <f aca="false">VrlTop</f>
        <v>0.048</v>
      </c>
      <c r="J16" s="15" t="n">
        <v>46.9</v>
      </c>
      <c r="K16" s="15" t="n">
        <v>32.4</v>
      </c>
      <c r="L16" s="9" t="n">
        <v>0.029</v>
      </c>
      <c r="M16" s="9" t="n">
        <v>0.054</v>
      </c>
      <c r="N16" s="9" t="n">
        <v>0.088</v>
      </c>
      <c r="O16" s="2" t="s">
        <v>116</v>
      </c>
      <c r="P16" s="24" t="s">
        <v>117</v>
      </c>
      <c r="Q16" s="24"/>
      <c r="R16" s="2" t="s">
        <v>118</v>
      </c>
      <c r="S16" s="27" t="s">
        <v>119</v>
      </c>
      <c r="XEH16" s="0"/>
      <c r="XEI16" s="0"/>
    </row>
    <row r="17" s="2" customFormat="true" ht="15.75" hidden="false" customHeight="true" outlineLevel="0" collapsed="false">
      <c r="A17" s="24" t="s">
        <v>120</v>
      </c>
      <c r="B17" s="4" t="s">
        <v>120</v>
      </c>
      <c r="C17" s="28" t="s">
        <v>62</v>
      </c>
      <c r="D17" s="26"/>
      <c r="E17" s="10" t="n">
        <v>2940</v>
      </c>
      <c r="F17" s="10" t="n">
        <v>530</v>
      </c>
      <c r="G17" s="13" t="n">
        <v>9.78</v>
      </c>
      <c r="H17" s="14" t="n">
        <f aca="false">VlrBack</f>
        <v>0.375692307692308</v>
      </c>
      <c r="I17" s="14" t="n">
        <f aca="false">VrlBack</f>
        <v>0.056</v>
      </c>
      <c r="J17" s="15" t="n">
        <v>87.2</v>
      </c>
      <c r="K17" s="15" t="n">
        <v>45.4</v>
      </c>
      <c r="L17" s="9" t="n">
        <v>0.044</v>
      </c>
      <c r="M17" s="29" t="n">
        <v>0.062</v>
      </c>
      <c r="N17" s="9" t="n">
        <v>0.108</v>
      </c>
      <c r="O17" s="2" t="s">
        <v>121</v>
      </c>
      <c r="P17" s="24" t="s">
        <v>122</v>
      </c>
      <c r="Q17" s="24"/>
      <c r="R17" s="2" t="s">
        <v>123</v>
      </c>
      <c r="S17" s="27" t="s">
        <v>124</v>
      </c>
      <c r="XEH17" s="0"/>
      <c r="XEI17" s="0"/>
    </row>
    <row r="18" s="2" customFormat="true" ht="69.75" hidden="false" customHeight="true" outlineLevel="0" collapsed="false">
      <c r="A18" s="24" t="s">
        <v>125</v>
      </c>
      <c r="B18" s="4" t="s">
        <v>126</v>
      </c>
      <c r="C18" s="25"/>
      <c r="D18" s="26" t="n">
        <v>0</v>
      </c>
      <c r="E18" s="10" t="n">
        <v>5180</v>
      </c>
      <c r="F18" s="10" t="n">
        <v>640</v>
      </c>
      <c r="G18" s="13" t="n">
        <v>14.82</v>
      </c>
      <c r="H18" s="14" t="n">
        <f aca="false">VlrBack</f>
        <v>0.375692307692308</v>
      </c>
      <c r="I18" s="14" t="n">
        <f aca="false">VrlBack</f>
        <v>0.056</v>
      </c>
      <c r="J18" s="15" t="n">
        <v>103.6</v>
      </c>
      <c r="K18" s="15" t="n">
        <v>41</v>
      </c>
      <c r="L18" s="9" t="n">
        <v>0.039</v>
      </c>
      <c r="M18" s="9" t="n">
        <v>0.079</v>
      </c>
      <c r="N18" s="9" t="n">
        <v>0.119</v>
      </c>
      <c r="O18" s="2" t="s">
        <v>127</v>
      </c>
      <c r="P18" s="24" t="s">
        <v>128</v>
      </c>
      <c r="Q18" s="24"/>
      <c r="R18" s="2" t="s">
        <v>129</v>
      </c>
      <c r="S18" s="27" t="s">
        <v>130</v>
      </c>
      <c r="XEH18" s="0"/>
      <c r="XEI18" s="0"/>
    </row>
    <row r="19" s="2" customFormat="true" ht="35.25" hidden="false" customHeight="true" outlineLevel="0" collapsed="false">
      <c r="A19" s="24" t="s">
        <v>131</v>
      </c>
      <c r="B19" s="4" t="s">
        <v>132</v>
      </c>
      <c r="C19" s="28" t="s">
        <v>62</v>
      </c>
      <c r="D19" s="12"/>
      <c r="E19" s="10" t="n">
        <v>3130</v>
      </c>
      <c r="F19" s="10" t="n">
        <v>485</v>
      </c>
      <c r="G19" s="13" t="n">
        <v>9.22</v>
      </c>
      <c r="H19" s="14" t="n">
        <f aca="false">VlrTop</f>
        <v>0.385571428571429</v>
      </c>
      <c r="I19" s="14" t="n">
        <f aca="false">VrlTop</f>
        <v>0.048</v>
      </c>
      <c r="J19" s="15" t="n">
        <v>71.5</v>
      </c>
      <c r="K19" s="15" t="n">
        <v>36.1</v>
      </c>
      <c r="L19" s="9" t="n">
        <v>0.038</v>
      </c>
      <c r="M19" s="9" t="n">
        <v>0.063</v>
      </c>
      <c r="N19" s="9" t="n">
        <v>0.108</v>
      </c>
      <c r="O19" s="2" t="s">
        <v>133</v>
      </c>
      <c r="P19" s="24" t="s">
        <v>134</v>
      </c>
      <c r="Q19" s="24"/>
      <c r="R19" s="2" t="s">
        <v>135</v>
      </c>
      <c r="S19" s="27" t="s">
        <v>136</v>
      </c>
      <c r="XEH19" s="0"/>
      <c r="XEI19" s="0"/>
    </row>
    <row r="20" s="2" customFormat="true" ht="24" hidden="false" customHeight="true" outlineLevel="0" collapsed="false">
      <c r="A20" s="24" t="s">
        <v>137</v>
      </c>
      <c r="B20" s="4" t="s">
        <v>138</v>
      </c>
      <c r="C20" s="25"/>
      <c r="D20" s="12"/>
      <c r="E20" s="10" t="n">
        <v>5180</v>
      </c>
      <c r="F20" s="10" t="n">
        <v>575</v>
      </c>
      <c r="G20" s="13" t="n">
        <v>11.13</v>
      </c>
      <c r="H20" s="14" t="n">
        <f aca="false">VlrBack</f>
        <v>0.375692307692308</v>
      </c>
      <c r="I20" s="14" t="n">
        <f aca="false">VrlBack</f>
        <v>0.056</v>
      </c>
      <c r="J20" s="15" t="n">
        <v>106.2</v>
      </c>
      <c r="K20" s="15" t="n">
        <v>51.7</v>
      </c>
      <c r="L20" s="9" t="n">
        <v>0.042</v>
      </c>
      <c r="M20" s="9" t="n">
        <v>0.066</v>
      </c>
      <c r="N20" s="9" t="n">
        <v>0.113</v>
      </c>
      <c r="O20" s="2" t="s">
        <v>139</v>
      </c>
      <c r="P20" s="24" t="s">
        <v>140</v>
      </c>
      <c r="Q20" s="24"/>
      <c r="R20" s="2" t="s">
        <v>141</v>
      </c>
      <c r="S20" s="27" t="s">
        <v>142</v>
      </c>
      <c r="XEH20" s="0"/>
      <c r="XEI20" s="0"/>
    </row>
    <row r="21" s="2" customFormat="true" ht="81" hidden="false" customHeight="true" outlineLevel="0" collapsed="false">
      <c r="A21" s="24" t="s">
        <v>143</v>
      </c>
      <c r="B21" s="4" t="s">
        <v>144</v>
      </c>
      <c r="C21" s="28" t="s">
        <v>62</v>
      </c>
      <c r="D21" s="12"/>
      <c r="E21" s="10" t="n">
        <v>2270</v>
      </c>
      <c r="F21" s="10" t="n">
        <v>515</v>
      </c>
      <c r="G21" s="13" t="n">
        <v>9.93</v>
      </c>
      <c r="H21" s="14" t="n">
        <f aca="false">VlrBack</f>
        <v>0.375692307692308</v>
      </c>
      <c r="I21" s="14" t="n">
        <f aca="false">VrlBack</f>
        <v>0.056</v>
      </c>
      <c r="J21" s="15" t="n">
        <v>73.1</v>
      </c>
      <c r="K21" s="15" t="n">
        <v>43.9</v>
      </c>
      <c r="L21" s="9" t="n">
        <v>0.038</v>
      </c>
      <c r="M21" s="9" t="n">
        <v>0.062</v>
      </c>
      <c r="N21" s="9" t="n">
        <v>0.105</v>
      </c>
      <c r="O21" s="2" t="s">
        <v>145</v>
      </c>
      <c r="P21" s="24" t="s">
        <v>146</v>
      </c>
      <c r="Q21" s="24"/>
      <c r="R21" s="2" t="s">
        <v>147</v>
      </c>
      <c r="S21" s="27" t="s">
        <v>148</v>
      </c>
      <c r="XEH21" s="0"/>
      <c r="XEI21" s="0"/>
    </row>
    <row r="22" s="2" customFormat="true" ht="24" hidden="false" customHeight="true" outlineLevel="0" collapsed="false">
      <c r="A22" s="24" t="s">
        <v>149</v>
      </c>
      <c r="B22" s="4" t="s">
        <v>150</v>
      </c>
      <c r="C22" s="25"/>
      <c r="D22" s="12" t="n">
        <v>0</v>
      </c>
      <c r="E22" s="10" t="n">
        <v>300</v>
      </c>
      <c r="F22" s="10" t="n">
        <v>150</v>
      </c>
      <c r="G22" s="13" t="n">
        <v>3.71</v>
      </c>
      <c r="H22" s="14" t="n">
        <v>0.229</v>
      </c>
      <c r="I22" s="14" t="n">
        <v>0.018</v>
      </c>
      <c r="J22" s="15" t="n">
        <v>19.6</v>
      </c>
      <c r="K22" s="15" t="n">
        <v>11.6</v>
      </c>
      <c r="L22" s="9" t="n">
        <v>0.023</v>
      </c>
      <c r="M22" s="9" t="n">
        <v>0.06</v>
      </c>
      <c r="N22" s="9" t="n">
        <v>0.085</v>
      </c>
      <c r="O22" s="2" t="s">
        <v>151</v>
      </c>
      <c r="P22" s="24" t="s">
        <v>152</v>
      </c>
      <c r="Q22" s="24"/>
      <c r="R22" s="2" t="s">
        <v>153</v>
      </c>
      <c r="S22" s="27" t="s">
        <v>154</v>
      </c>
      <c r="XEH22" s="0"/>
      <c r="XEI22" s="0"/>
    </row>
    <row r="23" s="2" customFormat="true" ht="15.75" hidden="false" customHeight="true" outlineLevel="0" collapsed="false">
      <c r="A23" s="24" t="s">
        <v>155</v>
      </c>
      <c r="B23" s="4" t="s">
        <v>156</v>
      </c>
      <c r="C23" s="28" t="s">
        <v>62</v>
      </c>
      <c r="D23" s="12"/>
      <c r="E23" s="10" t="n">
        <v>1780</v>
      </c>
      <c r="F23" s="10" t="n">
        <v>400</v>
      </c>
      <c r="G23" s="13" t="n">
        <v>9.57</v>
      </c>
      <c r="H23" s="14" t="n">
        <f aca="false">VlrTop</f>
        <v>0.385571428571429</v>
      </c>
      <c r="I23" s="14" t="n">
        <f aca="false">VrlTop</f>
        <v>0.048</v>
      </c>
      <c r="J23" s="15" t="n">
        <v>60.7</v>
      </c>
      <c r="K23" s="15" t="n">
        <v>34.5</v>
      </c>
      <c r="L23" s="9" t="n">
        <v>0.029</v>
      </c>
      <c r="M23" s="9" t="n">
        <v>0.069</v>
      </c>
      <c r="N23" s="9" t="n">
        <v>0.112</v>
      </c>
      <c r="O23" s="2" t="s">
        <v>157</v>
      </c>
      <c r="P23" s="24" t="s">
        <v>158</v>
      </c>
      <c r="Q23" s="24"/>
      <c r="R23" s="2" t="s">
        <v>159</v>
      </c>
      <c r="S23" s="27" t="s">
        <v>160</v>
      </c>
      <c r="XEH23" s="0"/>
      <c r="XEI23" s="0"/>
    </row>
    <row r="24" s="2" customFormat="true" ht="24" hidden="false" customHeight="true" outlineLevel="0" collapsed="false">
      <c r="A24" s="24" t="s">
        <v>161</v>
      </c>
      <c r="B24" s="4" t="s">
        <v>162</v>
      </c>
      <c r="C24" s="25"/>
      <c r="D24" s="12"/>
      <c r="E24" s="10" t="n">
        <v>1330</v>
      </c>
      <c r="F24" s="10" t="n">
        <v>370</v>
      </c>
      <c r="G24" s="13" t="n">
        <v>7.59</v>
      </c>
      <c r="H24" s="14" t="n">
        <f aca="false">VlrTop</f>
        <v>0.385571428571429</v>
      </c>
      <c r="I24" s="14" t="n">
        <f aca="false">VrlTop</f>
        <v>0.048</v>
      </c>
      <c r="J24" s="15" t="n">
        <v>46.9</v>
      </c>
      <c r="K24" s="15" t="n">
        <v>27.7</v>
      </c>
      <c r="L24" s="9" t="n">
        <v>0.03</v>
      </c>
      <c r="M24" s="9" t="n">
        <v>0.071</v>
      </c>
      <c r="N24" s="9" t="n">
        <v>0.105</v>
      </c>
      <c r="O24" s="2" t="s">
        <v>163</v>
      </c>
      <c r="P24" s="24" t="s">
        <v>164</v>
      </c>
      <c r="Q24" s="24"/>
      <c r="R24" s="2" t="s">
        <v>165</v>
      </c>
      <c r="S24" s="27" t="s">
        <v>166</v>
      </c>
      <c r="XEH24" s="0"/>
      <c r="XEI24" s="0"/>
    </row>
    <row r="25" s="2" customFormat="true" ht="35.25" hidden="false" customHeight="true" outlineLevel="0" collapsed="false">
      <c r="A25" s="24" t="s">
        <v>167</v>
      </c>
      <c r="B25" s="4" t="s">
        <v>168</v>
      </c>
      <c r="C25" s="25"/>
      <c r="D25" s="12"/>
      <c r="E25" s="10" t="n">
        <v>6720</v>
      </c>
      <c r="F25" s="10" t="n">
        <f aca="false">(500+850)/2</f>
        <v>675</v>
      </c>
      <c r="G25" s="13" t="n">
        <f aca="false">(18+20)/2</f>
        <v>19</v>
      </c>
      <c r="H25" s="14" t="n">
        <f aca="false">VlrBack</f>
        <v>0.375692307692308</v>
      </c>
      <c r="I25" s="14" t="n">
        <f aca="false">VrlBack</f>
        <v>0.056</v>
      </c>
      <c r="J25" s="15" t="n">
        <v>122</v>
      </c>
      <c r="K25" s="15" t="n">
        <v>78</v>
      </c>
      <c r="L25" s="9"/>
      <c r="M25" s="9"/>
      <c r="N25" s="9"/>
      <c r="O25" s="2" t="s">
        <v>169</v>
      </c>
      <c r="P25" s="24" t="s">
        <v>170</v>
      </c>
      <c r="Q25" s="24"/>
      <c r="R25" s="2" t="s">
        <v>171</v>
      </c>
      <c r="S25" s="27" t="s">
        <v>172</v>
      </c>
      <c r="XEH25" s="0"/>
      <c r="XEI25" s="0"/>
    </row>
    <row r="26" s="2" customFormat="true" ht="46.5" hidden="false" customHeight="true" outlineLevel="0" collapsed="false">
      <c r="A26" s="24" t="s">
        <v>173</v>
      </c>
      <c r="B26" s="4" t="s">
        <v>174</v>
      </c>
      <c r="C26" s="25"/>
      <c r="D26" s="12"/>
      <c r="E26" s="10" t="n">
        <v>1824</v>
      </c>
      <c r="F26" s="10" t="n">
        <v>415</v>
      </c>
      <c r="G26" s="13" t="n">
        <v>10.07</v>
      </c>
      <c r="H26" s="14" t="n">
        <v>0.364</v>
      </c>
      <c r="I26" s="14" t="n">
        <v>0.034</v>
      </c>
      <c r="J26" s="15" t="n">
        <v>60</v>
      </c>
      <c r="K26" s="15" t="n">
        <v>32.6</v>
      </c>
      <c r="L26" s="9" t="n">
        <v>0.066</v>
      </c>
      <c r="M26" s="9" t="n">
        <v>0.093</v>
      </c>
      <c r="N26" s="9" t="n">
        <v>0.158</v>
      </c>
      <c r="O26" s="2" t="s">
        <v>175</v>
      </c>
      <c r="P26" s="24" t="s">
        <v>176</v>
      </c>
      <c r="Q26" s="24"/>
      <c r="R26" s="2" t="s">
        <v>177</v>
      </c>
      <c r="S26" s="27" t="s">
        <v>178</v>
      </c>
      <c r="XEH26" s="0"/>
      <c r="XEI26" s="0"/>
    </row>
    <row r="27" s="2" customFormat="true" ht="24" hidden="false" customHeight="true" outlineLevel="0" collapsed="false">
      <c r="A27" s="24" t="s">
        <v>179</v>
      </c>
      <c r="B27" s="4" t="s">
        <v>180</v>
      </c>
      <c r="C27" s="25"/>
      <c r="D27" s="12"/>
      <c r="E27" s="10" t="n">
        <v>1900</v>
      </c>
      <c r="F27" s="10" t="n">
        <v>360</v>
      </c>
      <c r="G27" s="13" t="n">
        <v>8.53</v>
      </c>
      <c r="H27" s="14" t="n">
        <f aca="false">VlrTop</f>
        <v>0.385571428571429</v>
      </c>
      <c r="I27" s="14" t="n">
        <f aca="false">VrlTop</f>
        <v>0.048</v>
      </c>
      <c r="J27" s="15" t="n">
        <v>57.7</v>
      </c>
      <c r="K27" s="15" t="n">
        <v>29.5</v>
      </c>
      <c r="L27" s="9" t="n">
        <v>0.032</v>
      </c>
      <c r="M27" s="9" t="n">
        <v>0.062</v>
      </c>
      <c r="N27" s="9" t="n">
        <v>0.095</v>
      </c>
      <c r="O27" s="2" t="s">
        <v>181</v>
      </c>
      <c r="P27" s="24" t="s">
        <v>182</v>
      </c>
      <c r="Q27" s="24"/>
      <c r="R27" s="2" t="s">
        <v>183</v>
      </c>
      <c r="S27" s="27" t="s">
        <v>184</v>
      </c>
      <c r="XEH27" s="0"/>
      <c r="XEI27" s="0"/>
    </row>
    <row r="28" s="2" customFormat="true" ht="35.25" hidden="false" customHeight="true" outlineLevel="0" collapsed="false">
      <c r="A28" s="24" t="s">
        <v>185</v>
      </c>
      <c r="B28" s="4" t="s">
        <v>186</v>
      </c>
      <c r="C28" s="25"/>
      <c r="D28" s="26" t="n">
        <v>0.59</v>
      </c>
      <c r="E28" s="10" t="n">
        <v>3780</v>
      </c>
      <c r="F28" s="10" t="n">
        <v>545</v>
      </c>
      <c r="G28" s="13" t="n">
        <v>10</v>
      </c>
      <c r="H28" s="14" t="n">
        <f aca="false">VlrBack</f>
        <v>0.375692307692308</v>
      </c>
      <c r="I28" s="14" t="n">
        <f aca="false">VrlBack</f>
        <v>0.056</v>
      </c>
      <c r="J28" s="15" t="n">
        <v>73.8</v>
      </c>
      <c r="K28" s="15" t="n">
        <v>41</v>
      </c>
      <c r="L28" s="9" t="n">
        <v>0.037</v>
      </c>
      <c r="M28" s="9" t="n">
        <v>0.071</v>
      </c>
      <c r="N28" s="9" t="n">
        <v>0.116</v>
      </c>
      <c r="O28" s="2" t="s">
        <v>187</v>
      </c>
      <c r="P28" s="24" t="s">
        <v>188</v>
      </c>
      <c r="Q28" s="24"/>
      <c r="R28" s="2" t="s">
        <v>189</v>
      </c>
      <c r="S28" s="27" t="s">
        <v>190</v>
      </c>
      <c r="XEH28" s="0"/>
      <c r="XEI28" s="0"/>
    </row>
    <row r="29" s="2" customFormat="true" ht="24" hidden="false" customHeight="true" outlineLevel="0" collapsed="false">
      <c r="A29" s="24" t="s">
        <v>191</v>
      </c>
      <c r="B29" s="4" t="s">
        <v>192</v>
      </c>
      <c r="C29" s="25"/>
      <c r="D29" s="12"/>
      <c r="E29" s="10" t="n">
        <v>1870</v>
      </c>
      <c r="F29" s="10" t="n">
        <v>435</v>
      </c>
      <c r="G29" s="13" t="n">
        <v>9.86</v>
      </c>
      <c r="H29" s="14" t="n">
        <v>0.498</v>
      </c>
      <c r="I29" s="14" t="n">
        <v>0.054</v>
      </c>
      <c r="J29" s="15" t="n">
        <v>62.8</v>
      </c>
      <c r="K29" s="15" t="n">
        <v>36.6</v>
      </c>
      <c r="L29" s="9" t="n">
        <v>0.033</v>
      </c>
      <c r="M29" s="9" t="n">
        <v>0.079</v>
      </c>
      <c r="N29" s="9" t="n">
        <v>0.118</v>
      </c>
      <c r="O29" s="2" t="s">
        <v>193</v>
      </c>
      <c r="P29" s="24" t="s">
        <v>194</v>
      </c>
      <c r="Q29" s="24"/>
      <c r="R29" s="2" t="s">
        <v>195</v>
      </c>
      <c r="S29" s="27" t="s">
        <v>196</v>
      </c>
      <c r="XEH29" s="0"/>
      <c r="XEI29" s="0"/>
    </row>
    <row r="30" s="2" customFormat="true" ht="15.75" hidden="false" customHeight="true" outlineLevel="0" collapsed="false">
      <c r="A30" s="24" t="s">
        <v>197</v>
      </c>
      <c r="B30" s="4" t="s">
        <v>198</v>
      </c>
      <c r="C30" s="25"/>
      <c r="D30" s="26" t="n">
        <v>0.67</v>
      </c>
      <c r="E30" s="10" t="n">
        <v>3780</v>
      </c>
      <c r="F30" s="10" t="n">
        <v>545</v>
      </c>
      <c r="G30" s="13" t="n">
        <v>11</v>
      </c>
      <c r="H30" s="14" t="n">
        <f aca="false">VlrBack</f>
        <v>0.375692307692308</v>
      </c>
      <c r="I30" s="14" t="n">
        <f aca="false">VrlBack</f>
        <v>0.056</v>
      </c>
      <c r="J30" s="15" t="n">
        <v>86.9</v>
      </c>
      <c r="K30" s="15" t="n">
        <v>41.2</v>
      </c>
      <c r="L30" s="9" t="n">
        <v>0.05</v>
      </c>
      <c r="M30" s="9" t="n">
        <v>0.078</v>
      </c>
      <c r="N30" s="9" t="n">
        <v>0.152</v>
      </c>
      <c r="O30" s="2" t="s">
        <v>199</v>
      </c>
      <c r="P30" s="24" t="s">
        <v>200</v>
      </c>
      <c r="Q30" s="24"/>
      <c r="R30" s="2" t="s">
        <v>201</v>
      </c>
      <c r="S30" s="27" t="s">
        <v>202</v>
      </c>
      <c r="XEH30" s="0"/>
      <c r="XEI30" s="0"/>
    </row>
    <row r="31" s="2" customFormat="true" ht="24" hidden="false" customHeight="true" outlineLevel="0" collapsed="false">
      <c r="A31" s="24" t="s">
        <v>203</v>
      </c>
      <c r="B31" s="4" t="s">
        <v>204</v>
      </c>
      <c r="C31" s="25"/>
      <c r="D31" s="26" t="n">
        <v>0</v>
      </c>
      <c r="E31" s="10" t="n">
        <v>4230</v>
      </c>
      <c r="F31" s="10" t="n">
        <v>560</v>
      </c>
      <c r="G31" s="13" t="n">
        <v>10.3</v>
      </c>
      <c r="H31" s="14" t="n">
        <v>0.392</v>
      </c>
      <c r="I31" s="14" t="n">
        <v>0.086</v>
      </c>
      <c r="J31" s="15" t="n">
        <v>84.8</v>
      </c>
      <c r="K31" s="15" t="n">
        <v>49</v>
      </c>
      <c r="L31" s="9" t="n">
        <v>0.037</v>
      </c>
      <c r="M31" s="9" t="n">
        <v>0.071</v>
      </c>
      <c r="N31" s="9" t="n">
        <v>0.115</v>
      </c>
      <c r="O31" s="2" t="s">
        <v>205</v>
      </c>
      <c r="P31" s="24" t="s">
        <v>206</v>
      </c>
      <c r="Q31" s="24"/>
      <c r="R31" s="2" t="s">
        <v>207</v>
      </c>
      <c r="S31" s="27" t="s">
        <v>208</v>
      </c>
      <c r="XEH31" s="0"/>
      <c r="XEI31" s="0"/>
    </row>
    <row r="32" s="2" customFormat="true" ht="24" hidden="false" customHeight="true" outlineLevel="0" collapsed="false">
      <c r="A32" s="24" t="s">
        <v>209</v>
      </c>
      <c r="B32" s="4" t="s">
        <v>210</v>
      </c>
      <c r="C32" s="25"/>
      <c r="D32" s="12" t="n">
        <v>0.44</v>
      </c>
      <c r="E32" s="10" t="n">
        <v>1560</v>
      </c>
      <c r="F32" s="10" t="n">
        <v>385</v>
      </c>
      <c r="G32" s="13" t="n">
        <v>8.76</v>
      </c>
      <c r="H32" s="14" t="n">
        <f aca="false">VlrTop</f>
        <v>0.385571428571429</v>
      </c>
      <c r="I32" s="14" t="n">
        <f aca="false">VrlTop</f>
        <v>0.048</v>
      </c>
      <c r="J32" s="15" t="n">
        <v>58.6</v>
      </c>
      <c r="K32" s="15" t="n">
        <v>31</v>
      </c>
      <c r="L32" s="9" t="n">
        <v>0.036</v>
      </c>
      <c r="M32" s="9" t="n">
        <v>0.086</v>
      </c>
      <c r="N32" s="9" t="n">
        <v>0.124</v>
      </c>
      <c r="O32" s="2" t="s">
        <v>211</v>
      </c>
      <c r="P32" s="24" t="s">
        <v>212</v>
      </c>
      <c r="Q32" s="24"/>
      <c r="R32" s="2" t="s">
        <v>213</v>
      </c>
      <c r="S32" s="27" t="s">
        <v>214</v>
      </c>
      <c r="XEH32" s="0"/>
      <c r="XEI32" s="0"/>
    </row>
    <row r="33" s="2" customFormat="true" ht="35.25" hidden="false" customHeight="true" outlineLevel="0" collapsed="false">
      <c r="A33" s="24" t="s">
        <v>215</v>
      </c>
      <c r="B33" s="4" t="s">
        <v>216</v>
      </c>
      <c r="C33" s="25"/>
      <c r="D33" s="12"/>
      <c r="E33" s="10" t="n">
        <v>16280</v>
      </c>
      <c r="F33" s="10" t="n">
        <v>1355</v>
      </c>
      <c r="G33" s="13" t="n">
        <v>20.46</v>
      </c>
      <c r="H33" s="14" t="n">
        <f aca="false">VlrBack</f>
        <v>0.375692307692308</v>
      </c>
      <c r="I33" s="14" t="n">
        <f aca="false">VrlBack</f>
        <v>0.056</v>
      </c>
      <c r="J33" s="15" t="n">
        <v>125.5</v>
      </c>
      <c r="K33" s="15" t="n">
        <v>68.6</v>
      </c>
      <c r="L33" s="9" t="n">
        <v>0.062</v>
      </c>
      <c r="M33" s="9" t="n">
        <v>0.08</v>
      </c>
      <c r="N33" s="9" t="n">
        <v>0.116</v>
      </c>
      <c r="O33" s="2" t="s">
        <v>217</v>
      </c>
      <c r="P33" s="24" t="s">
        <v>218</v>
      </c>
      <c r="Q33" s="24"/>
      <c r="R33" s="2" t="s">
        <v>219</v>
      </c>
      <c r="S33" s="27" t="s">
        <v>220</v>
      </c>
      <c r="XEH33" s="0"/>
      <c r="XEI33" s="0"/>
    </row>
    <row r="34" s="2" customFormat="true" ht="35.25" hidden="false" customHeight="true" outlineLevel="0" collapsed="false">
      <c r="A34" s="24" t="s">
        <v>221</v>
      </c>
      <c r="B34" s="4" t="s">
        <v>222</v>
      </c>
      <c r="C34" s="25"/>
      <c r="D34" s="26" t="n">
        <v>0</v>
      </c>
      <c r="E34" s="10" t="n">
        <v>7560</v>
      </c>
      <c r="F34" s="10" t="n">
        <v>770</v>
      </c>
      <c r="G34" s="13" t="n">
        <v>14.14</v>
      </c>
      <c r="H34" s="14" t="n">
        <f aca="false">VlrBack</f>
        <v>0.375692307692308</v>
      </c>
      <c r="I34" s="14" t="n">
        <f aca="false">VrlBack</f>
        <v>0.056</v>
      </c>
      <c r="J34" s="15" t="n">
        <v>133.8</v>
      </c>
      <c r="K34" s="15" t="n">
        <v>70.3</v>
      </c>
      <c r="L34" s="9" t="n">
        <v>0.046</v>
      </c>
      <c r="M34" s="9" t="n">
        <v>0.072</v>
      </c>
      <c r="N34" s="9" t="n">
        <v>0.102</v>
      </c>
      <c r="O34" s="2" t="s">
        <v>223</v>
      </c>
      <c r="P34" s="24" t="s">
        <v>224</v>
      </c>
      <c r="Q34" s="24"/>
      <c r="R34" s="2" t="s">
        <v>225</v>
      </c>
      <c r="S34" s="27" t="s">
        <v>226</v>
      </c>
      <c r="XEH34" s="0"/>
      <c r="XEI34" s="0"/>
    </row>
    <row r="35" s="2" customFormat="true" ht="35.25" hidden="false" customHeight="true" outlineLevel="0" collapsed="false">
      <c r="A35" s="24" t="s">
        <v>227</v>
      </c>
      <c r="B35" s="4" t="s">
        <v>228</v>
      </c>
      <c r="C35" s="25"/>
      <c r="D35" s="26" t="n">
        <v>0.59</v>
      </c>
      <c r="E35" s="10" t="n">
        <v>5250</v>
      </c>
      <c r="F35" s="10" t="n">
        <v>640</v>
      </c>
      <c r="G35" s="13" t="n">
        <v>11.17</v>
      </c>
      <c r="H35" s="14" t="n">
        <v>0.424</v>
      </c>
      <c r="I35" s="14" t="n">
        <v>0.065</v>
      </c>
      <c r="J35" s="15" t="n">
        <v>91.7</v>
      </c>
      <c r="K35" s="15" t="n">
        <v>46.1</v>
      </c>
      <c r="L35" s="9" t="n">
        <v>0.048</v>
      </c>
      <c r="M35" s="9" t="n">
        <v>0.093</v>
      </c>
      <c r="N35" s="9" t="n">
        <v>0.14</v>
      </c>
      <c r="O35" s="2" t="s">
        <v>229</v>
      </c>
      <c r="P35" s="24" t="s">
        <v>230</v>
      </c>
      <c r="Q35" s="24"/>
      <c r="R35" s="2" t="s">
        <v>231</v>
      </c>
      <c r="S35" s="27" t="s">
        <v>232</v>
      </c>
      <c r="XEH35" s="0"/>
      <c r="XEI35" s="0"/>
    </row>
    <row r="36" s="2" customFormat="true" ht="35.25" hidden="false" customHeight="true" outlineLevel="0" collapsed="false">
      <c r="A36" s="24" t="s">
        <v>233</v>
      </c>
      <c r="B36" s="4" t="s">
        <v>234</v>
      </c>
      <c r="C36" s="25"/>
      <c r="D36" s="26" t="n">
        <v>0</v>
      </c>
      <c r="E36" s="10" t="n">
        <v>5380</v>
      </c>
      <c r="F36" s="10" t="n">
        <v>715</v>
      </c>
      <c r="G36" s="13" t="n">
        <v>11.97</v>
      </c>
      <c r="H36" s="14" t="n">
        <f aca="false">VlrBack</f>
        <v>0.375692307692308</v>
      </c>
      <c r="I36" s="14" t="n">
        <f aca="false">VrlBack</f>
        <v>0.056</v>
      </c>
      <c r="J36" s="15" t="n">
        <v>99.5</v>
      </c>
      <c r="K36" s="15" t="n">
        <v>44.5</v>
      </c>
      <c r="L36" s="9" t="n">
        <v>0.044</v>
      </c>
      <c r="M36" s="9" t="n">
        <v>0.111</v>
      </c>
      <c r="N36" s="9" t="n">
        <v>0.151</v>
      </c>
      <c r="O36" s="2" t="s">
        <v>235</v>
      </c>
      <c r="P36" s="24" t="s">
        <v>236</v>
      </c>
      <c r="Q36" s="24"/>
      <c r="R36" s="2" t="s">
        <v>237</v>
      </c>
      <c r="S36" s="27" t="s">
        <v>238</v>
      </c>
      <c r="XEH36" s="0"/>
      <c r="XEI36" s="0"/>
    </row>
    <row r="37" s="2" customFormat="true" ht="35.25" hidden="false" customHeight="true" outlineLevel="0" collapsed="false">
      <c r="A37" s="24" t="s">
        <v>239</v>
      </c>
      <c r="B37" s="4" t="s">
        <v>240</v>
      </c>
      <c r="C37" s="25"/>
      <c r="D37" s="12"/>
      <c r="E37" s="10" t="n">
        <v>2020</v>
      </c>
      <c r="F37" s="10" t="n">
        <v>385</v>
      </c>
      <c r="G37" s="13" t="n">
        <v>7.21</v>
      </c>
      <c r="H37" s="14" t="n">
        <f aca="false">VlrTop</f>
        <v>0.385571428571429</v>
      </c>
      <c r="I37" s="14" t="n">
        <f aca="false">VrlTop</f>
        <v>0.048</v>
      </c>
      <c r="J37" s="15" t="n">
        <v>63.7</v>
      </c>
      <c r="K37" s="15" t="n">
        <v>36</v>
      </c>
      <c r="L37" s="9" t="n">
        <v>0.04</v>
      </c>
      <c r="M37" s="9" t="n">
        <v>0.093</v>
      </c>
      <c r="N37" s="9" t="n">
        <v>0.123</v>
      </c>
      <c r="O37" s="2" t="s">
        <v>241</v>
      </c>
      <c r="P37" s="24" t="s">
        <v>242</v>
      </c>
      <c r="Q37" s="24"/>
      <c r="R37" s="2" t="s">
        <v>243</v>
      </c>
      <c r="S37" s="27" t="s">
        <v>244</v>
      </c>
      <c r="XEH37" s="0"/>
      <c r="XEI37" s="0"/>
    </row>
    <row r="38" s="2" customFormat="true" ht="57.75" hidden="false" customHeight="true" outlineLevel="0" collapsed="false">
      <c r="A38" s="24" t="s">
        <v>245</v>
      </c>
      <c r="B38" s="4" t="s">
        <v>246</v>
      </c>
      <c r="C38" s="25"/>
      <c r="D38" s="12"/>
      <c r="E38" s="10" t="n">
        <v>7260</v>
      </c>
      <c r="F38" s="10" t="n">
        <v>760</v>
      </c>
      <c r="G38" s="13" t="n">
        <v>11.77</v>
      </c>
      <c r="H38" s="14" t="n">
        <f aca="false">VlrBack</f>
        <v>0.375692307692308</v>
      </c>
      <c r="I38" s="14" t="n">
        <f aca="false">VrlBack</f>
        <v>0.056</v>
      </c>
      <c r="J38" s="15" t="n">
        <v>96.4</v>
      </c>
      <c r="K38" s="15" t="n">
        <v>56.1</v>
      </c>
      <c r="L38" s="9" t="n">
        <v>0.04</v>
      </c>
      <c r="M38" s="9" t="n">
        <v>0.081</v>
      </c>
      <c r="N38" s="9" t="n">
        <v>0.123</v>
      </c>
      <c r="O38" s="2" t="s">
        <v>247</v>
      </c>
      <c r="P38" s="24" t="s">
        <v>248</v>
      </c>
      <c r="Q38" s="24"/>
      <c r="R38" s="2" t="s">
        <v>249</v>
      </c>
      <c r="S38" s="27" t="s">
        <v>250</v>
      </c>
      <c r="XEH38" s="0"/>
      <c r="XEI38" s="0"/>
    </row>
    <row r="39" s="2" customFormat="true" ht="15.75" hidden="false" customHeight="true" outlineLevel="0" collapsed="false">
      <c r="A39" s="24" t="s">
        <v>251</v>
      </c>
      <c r="B39" s="4" t="s">
        <v>252</v>
      </c>
      <c r="C39" s="28" t="s">
        <v>62</v>
      </c>
      <c r="D39" s="12"/>
      <c r="E39" s="10" t="n">
        <v>2320</v>
      </c>
      <c r="F39" s="10" t="n">
        <v>450</v>
      </c>
      <c r="G39" s="13" t="n">
        <v>10.5</v>
      </c>
      <c r="H39" s="14" t="n">
        <v>0.372</v>
      </c>
      <c r="I39" s="14" t="n">
        <v>0.04</v>
      </c>
      <c r="J39" s="15" t="n">
        <v>69.7</v>
      </c>
      <c r="K39" s="15" t="n">
        <v>37.3</v>
      </c>
      <c r="L39" s="9" t="n">
        <v>0.041</v>
      </c>
      <c r="M39" s="9" t="n">
        <v>0.068</v>
      </c>
      <c r="N39" s="9" t="n">
        <v>0.113</v>
      </c>
      <c r="O39" s="2" t="s">
        <v>253</v>
      </c>
      <c r="P39" s="24" t="s">
        <v>254</v>
      </c>
      <c r="Q39" s="24"/>
      <c r="R39" s="2" t="s">
        <v>255</v>
      </c>
      <c r="S39" s="27" t="s">
        <v>256</v>
      </c>
      <c r="XEH39" s="0"/>
      <c r="XEI39" s="0"/>
    </row>
    <row r="40" s="2" customFormat="true" ht="24" hidden="false" customHeight="true" outlineLevel="0" collapsed="false">
      <c r="A40" s="24" t="s">
        <v>257</v>
      </c>
      <c r="B40" s="4" t="s">
        <v>258</v>
      </c>
      <c r="C40" s="25"/>
      <c r="D40" s="12" t="n">
        <v>0.42</v>
      </c>
      <c r="E40" s="10" t="n">
        <v>3570</v>
      </c>
      <c r="F40" s="10" t="n">
        <v>545</v>
      </c>
      <c r="G40" s="13" t="n">
        <v>8.19</v>
      </c>
      <c r="H40" s="14" t="n">
        <f aca="false">VlrBack</f>
        <v>0.375692307692308</v>
      </c>
      <c r="I40" s="14" t="n">
        <f aca="false">VrlBack</f>
        <v>0.056</v>
      </c>
      <c r="J40" s="15" t="n">
        <v>65.5</v>
      </c>
      <c r="K40" s="15" t="n">
        <v>37.7</v>
      </c>
      <c r="L40" s="9" t="n">
        <v>0.051</v>
      </c>
      <c r="M40" s="9" t="n">
        <v>0.087</v>
      </c>
      <c r="N40" s="9" t="n">
        <v>0.144</v>
      </c>
      <c r="O40" s="2" t="s">
        <v>259</v>
      </c>
      <c r="P40" s="24" t="s">
        <v>260</v>
      </c>
      <c r="Q40" s="24"/>
      <c r="R40" s="2" t="s">
        <v>261</v>
      </c>
      <c r="S40" s="27" t="s">
        <v>262</v>
      </c>
      <c r="XEH40" s="0"/>
      <c r="XEI40" s="0"/>
    </row>
    <row r="41" s="2" customFormat="true" ht="24" hidden="false" customHeight="true" outlineLevel="0" collapsed="false">
      <c r="A41" s="24" t="s">
        <v>263</v>
      </c>
      <c r="B41" s="4" t="s">
        <v>264</v>
      </c>
      <c r="C41" s="25"/>
      <c r="D41" s="26" t="n">
        <v>0.78</v>
      </c>
      <c r="E41" s="10" t="n">
        <v>4490</v>
      </c>
      <c r="F41" s="10" t="n">
        <v>610</v>
      </c>
      <c r="G41" s="13" t="n">
        <v>11.59</v>
      </c>
      <c r="H41" s="14" t="n">
        <v>0.495</v>
      </c>
      <c r="I41" s="14" t="n">
        <v>0.052</v>
      </c>
      <c r="J41" s="15" t="n">
        <v>100.7</v>
      </c>
      <c r="K41" s="15" t="n">
        <v>52.3</v>
      </c>
      <c r="L41" s="9" t="n">
        <v>0.055</v>
      </c>
      <c r="M41" s="9" t="n">
        <v>0.078</v>
      </c>
      <c r="N41" s="9" t="n">
        <v>0.128</v>
      </c>
      <c r="O41" s="2" t="s">
        <v>265</v>
      </c>
      <c r="P41" s="24" t="s">
        <v>266</v>
      </c>
      <c r="Q41" s="24"/>
      <c r="R41" s="2" t="s">
        <v>267</v>
      </c>
      <c r="S41" s="27" t="s">
        <v>268</v>
      </c>
      <c r="XEH41" s="0"/>
      <c r="XEI41" s="0"/>
    </row>
    <row r="42" s="2" customFormat="true" ht="15.75" hidden="false" customHeight="true" outlineLevel="0" collapsed="false">
      <c r="A42" s="24" t="s">
        <v>269</v>
      </c>
      <c r="B42" s="4" t="s">
        <v>270</v>
      </c>
      <c r="C42" s="25"/>
      <c r="D42" s="26" t="n">
        <v>0.73</v>
      </c>
      <c r="E42" s="10" t="n">
        <v>1920</v>
      </c>
      <c r="F42" s="10" t="n">
        <v>415</v>
      </c>
      <c r="G42" s="13" t="n">
        <v>6.97</v>
      </c>
      <c r="H42" s="14" t="n">
        <f aca="false">VlrTop</f>
        <v>0.385571428571429</v>
      </c>
      <c r="I42" s="14" t="n">
        <f aca="false">VrlTop</f>
        <v>0.048</v>
      </c>
      <c r="J42" s="15" t="n">
        <v>53.8</v>
      </c>
      <c r="K42" s="15" t="n">
        <v>28.3</v>
      </c>
      <c r="L42" s="9" t="n">
        <v>0.033</v>
      </c>
      <c r="M42" s="9" t="n">
        <v>0.087</v>
      </c>
      <c r="N42" s="9" t="n">
        <v>0.139</v>
      </c>
      <c r="O42" s="2" t="s">
        <v>271</v>
      </c>
      <c r="P42" s="24" t="s">
        <v>272</v>
      </c>
      <c r="Q42" s="24"/>
      <c r="R42" s="2" t="s">
        <v>273</v>
      </c>
      <c r="S42" s="27" t="s">
        <v>274</v>
      </c>
      <c r="XEH42" s="0"/>
      <c r="XEI42" s="0"/>
    </row>
    <row r="43" s="2" customFormat="true" ht="57.75" hidden="false" customHeight="true" outlineLevel="0" collapsed="false">
      <c r="A43" s="24" t="s">
        <v>275</v>
      </c>
      <c r="B43" s="4" t="s">
        <v>276</v>
      </c>
      <c r="C43" s="25"/>
      <c r="D43" s="12" t="n">
        <v>0</v>
      </c>
      <c r="E43" s="10" t="n">
        <v>12900</v>
      </c>
      <c r="F43" s="10" t="n">
        <v>1050</v>
      </c>
      <c r="G43" s="13" t="n">
        <v>20.78</v>
      </c>
      <c r="H43" s="14" t="n">
        <f aca="false">VlrBack</f>
        <v>0.375692307692308</v>
      </c>
      <c r="I43" s="14" t="n">
        <f aca="false">VrlBack</f>
        <v>0.056</v>
      </c>
      <c r="J43" s="15" t="n">
        <v>174.4</v>
      </c>
      <c r="K43" s="15" t="n">
        <v>98.7</v>
      </c>
      <c r="L43" s="9" t="n">
        <v>0.046</v>
      </c>
      <c r="M43" s="9" t="n">
        <v>0.07</v>
      </c>
      <c r="N43" s="9" t="n">
        <v>0.117</v>
      </c>
      <c r="O43" s="2" t="s">
        <v>277</v>
      </c>
      <c r="P43" s="24" t="s">
        <v>278</v>
      </c>
      <c r="Q43" s="24"/>
      <c r="R43" s="2" t="s">
        <v>279</v>
      </c>
      <c r="S43" s="27" t="s">
        <v>280</v>
      </c>
      <c r="XEH43" s="0"/>
      <c r="XEI43" s="0"/>
    </row>
    <row r="44" s="2" customFormat="true" ht="35.25" hidden="false" customHeight="true" outlineLevel="0" collapsed="false">
      <c r="A44" s="24" t="s">
        <v>281</v>
      </c>
      <c r="B44" s="4" t="s">
        <v>282</v>
      </c>
      <c r="C44" s="25"/>
      <c r="D44" s="12"/>
      <c r="E44" s="10" t="n">
        <v>10550</v>
      </c>
      <c r="F44" s="10" t="n">
        <v>820</v>
      </c>
      <c r="G44" s="13" t="n">
        <v>18.76</v>
      </c>
      <c r="H44" s="14" t="n">
        <f aca="false">VlrBack</f>
        <v>0.375692307692308</v>
      </c>
      <c r="I44" s="14" t="n">
        <f aca="false">VrlBack</f>
        <v>0.056</v>
      </c>
      <c r="J44" s="15" t="n">
        <v>134.7</v>
      </c>
      <c r="K44" s="15" t="n">
        <v>76.9</v>
      </c>
      <c r="L44" s="9" t="n">
        <v>0.068</v>
      </c>
      <c r="M44" s="9" t="n">
        <v>0.128</v>
      </c>
      <c r="N44" s="9" t="n">
        <v>0.197</v>
      </c>
      <c r="O44" s="2" t="s">
        <v>283</v>
      </c>
      <c r="P44" s="24" t="s">
        <v>284</v>
      </c>
      <c r="Q44" s="24"/>
      <c r="R44" s="2" t="s">
        <v>285</v>
      </c>
      <c r="S44" s="27" t="s">
        <v>286</v>
      </c>
      <c r="XEH44" s="0"/>
      <c r="XEI44" s="0"/>
    </row>
    <row r="45" s="2" customFormat="true" ht="15.75" hidden="false" customHeight="true" outlineLevel="0" collapsed="false">
      <c r="A45" s="24" t="s">
        <v>287</v>
      </c>
      <c r="B45" s="4" t="s">
        <v>288</v>
      </c>
      <c r="C45" s="25"/>
      <c r="D45" s="12"/>
      <c r="E45" s="10" t="n">
        <v>8950</v>
      </c>
      <c r="F45" s="10" t="n">
        <v>855</v>
      </c>
      <c r="G45" s="13" t="n">
        <v>12.19</v>
      </c>
      <c r="H45" s="14" t="n">
        <f aca="false">VlrBack</f>
        <v>0.375692307692308</v>
      </c>
      <c r="I45" s="14" t="n">
        <f aca="false">VrlBack</f>
        <v>0.056</v>
      </c>
      <c r="J45" s="15" t="n">
        <v>114.4</v>
      </c>
      <c r="K45" s="15" t="n">
        <v>59.4</v>
      </c>
      <c r="L45" s="9" t="n">
        <v>0.04</v>
      </c>
      <c r="M45" s="9" t="n">
        <v>0.074</v>
      </c>
      <c r="N45" s="9" t="n">
        <v>0.116</v>
      </c>
      <c r="O45" s="2" t="s">
        <v>289</v>
      </c>
      <c r="P45" s="24" t="s">
        <v>290</v>
      </c>
      <c r="Q45" s="24"/>
      <c r="R45" s="2" t="s">
        <v>291</v>
      </c>
      <c r="S45" s="27" t="s">
        <v>292</v>
      </c>
      <c r="XEH45" s="0"/>
      <c r="XEI45" s="0"/>
    </row>
    <row r="46" s="2" customFormat="true" ht="35.25" hidden="false" customHeight="true" outlineLevel="0" collapsed="false">
      <c r="A46" s="24" t="s">
        <v>293</v>
      </c>
      <c r="B46" s="4" t="s">
        <v>294</v>
      </c>
      <c r="C46" s="25"/>
      <c r="D46" s="26" t="n">
        <v>0</v>
      </c>
      <c r="E46" s="10" t="n">
        <v>11570</v>
      </c>
      <c r="F46" s="10" t="n">
        <v>930</v>
      </c>
      <c r="G46" s="13"/>
      <c r="H46" s="14" t="n">
        <f aca="false">VlrBack</f>
        <v>0.375692307692308</v>
      </c>
      <c r="I46" s="14" t="n">
        <f aca="false">VrlBack</f>
        <v>0.056</v>
      </c>
      <c r="J46" s="15"/>
      <c r="K46" s="15"/>
      <c r="L46" s="9" t="n">
        <v>0.04</v>
      </c>
      <c r="M46" s="9" t="n">
        <v>0.067</v>
      </c>
      <c r="N46" s="9" t="n">
        <v>0.108</v>
      </c>
      <c r="O46" s="2" t="s">
        <v>295</v>
      </c>
      <c r="P46" s="24" t="s">
        <v>296</v>
      </c>
      <c r="Q46" s="24"/>
      <c r="R46" s="2" t="s">
        <v>297</v>
      </c>
      <c r="S46" s="27" t="s">
        <v>298</v>
      </c>
      <c r="XEH46" s="0"/>
      <c r="XEI46" s="0"/>
    </row>
    <row r="47" s="2" customFormat="true" ht="57.75" hidden="false" customHeight="true" outlineLevel="0" collapsed="false">
      <c r="A47" s="24" t="s">
        <v>299</v>
      </c>
      <c r="B47" s="4" t="s">
        <v>300</v>
      </c>
      <c r="C47" s="25"/>
      <c r="D47" s="12" t="n">
        <v>0</v>
      </c>
      <c r="E47" s="10" t="n">
        <v>13080</v>
      </c>
      <c r="F47" s="10" t="n">
        <v>965</v>
      </c>
      <c r="G47" s="13" t="n">
        <v>12.27</v>
      </c>
      <c r="H47" s="14" t="n">
        <f aca="false">VlrBack</f>
        <v>0.375692307692308</v>
      </c>
      <c r="I47" s="14" t="n">
        <f aca="false">VrlBack</f>
        <v>0.056</v>
      </c>
      <c r="J47" s="15" t="n">
        <v>136.5</v>
      </c>
      <c r="K47" s="15" t="n">
        <v>71.3</v>
      </c>
      <c r="L47" s="9" t="n">
        <v>0.073</v>
      </c>
      <c r="M47" s="9" t="n">
        <v>0.112</v>
      </c>
      <c r="N47" s="9" t="n">
        <v>0.19</v>
      </c>
      <c r="O47" s="2" t="s">
        <v>301</v>
      </c>
      <c r="P47" s="24" t="s">
        <v>302</v>
      </c>
      <c r="Q47" s="24"/>
      <c r="R47" s="2" t="s">
        <v>303</v>
      </c>
      <c r="S47" s="27" t="s">
        <v>304</v>
      </c>
      <c r="XEH47" s="0"/>
      <c r="XEI47" s="0"/>
    </row>
    <row r="48" s="2" customFormat="true" ht="9" hidden="false" customHeight="true" outlineLevel="0" collapsed="false">
      <c r="A48" s="24" t="s">
        <v>305</v>
      </c>
      <c r="B48" s="4" t="s">
        <v>306</v>
      </c>
      <c r="C48" s="25"/>
      <c r="D48" s="26" t="n">
        <v>0</v>
      </c>
      <c r="E48" s="10" t="n">
        <v>12410</v>
      </c>
      <c r="F48" s="10" t="n">
        <v>835</v>
      </c>
      <c r="G48" s="13" t="n">
        <v>13.93</v>
      </c>
      <c r="H48" s="14" t="n">
        <f aca="false">VlrBack</f>
        <v>0.375692307692308</v>
      </c>
      <c r="I48" s="14" t="n">
        <f aca="false">VrlBack</f>
        <v>0.056</v>
      </c>
      <c r="J48" s="15" t="n">
        <v>135</v>
      </c>
      <c r="K48" s="15" t="n">
        <v>67.2</v>
      </c>
      <c r="L48" s="9" t="n">
        <v>0.029</v>
      </c>
      <c r="M48" s="9" t="n">
        <v>0.046</v>
      </c>
      <c r="N48" s="9" t="n">
        <v>0.085</v>
      </c>
      <c r="O48" s="2" t="s">
        <v>307</v>
      </c>
      <c r="P48" s="24" t="s">
        <v>308</v>
      </c>
      <c r="Q48" s="24"/>
      <c r="R48" s="2" t="s">
        <v>309</v>
      </c>
      <c r="S48" s="27" t="s">
        <v>310</v>
      </c>
      <c r="XEH48" s="0"/>
      <c r="XEI48" s="0"/>
    </row>
    <row r="49" s="2" customFormat="true" ht="35.25" hidden="false" customHeight="true" outlineLevel="0" collapsed="false">
      <c r="A49" s="24" t="s">
        <v>311</v>
      </c>
      <c r="B49" s="4" t="s">
        <v>312</v>
      </c>
      <c r="C49" s="25"/>
      <c r="D49" s="12"/>
      <c r="E49" s="10" t="n">
        <v>12540</v>
      </c>
      <c r="F49" s="10" t="n">
        <v>1050</v>
      </c>
      <c r="G49" s="13" t="n">
        <v>20.2</v>
      </c>
      <c r="H49" s="14" t="n">
        <f aca="false">VlrBack</f>
        <v>0.375692307692308</v>
      </c>
      <c r="I49" s="14" t="n">
        <f aca="false">VrlBack</f>
        <v>0.056</v>
      </c>
      <c r="J49" s="15" t="n">
        <v>176.1</v>
      </c>
      <c r="K49" s="15" t="n">
        <v>74</v>
      </c>
      <c r="L49" s="9" t="n">
        <v>0.047</v>
      </c>
      <c r="M49" s="9" t="n">
        <v>0.085</v>
      </c>
      <c r="N49" s="9" t="n">
        <v>0.142</v>
      </c>
      <c r="O49" s="2" t="s">
        <v>313</v>
      </c>
      <c r="P49" s="24" t="s">
        <v>314</v>
      </c>
      <c r="Q49" s="24"/>
      <c r="R49" s="2" t="s">
        <v>315</v>
      </c>
      <c r="S49" s="27" t="s">
        <v>316</v>
      </c>
      <c r="XEH49" s="0"/>
      <c r="XEI49" s="0"/>
    </row>
    <row r="50" s="2" customFormat="true" ht="115.5" hidden="false" customHeight="true" outlineLevel="0" collapsed="false">
      <c r="A50" s="24" t="s">
        <v>317</v>
      </c>
      <c r="B50" s="4" t="s">
        <v>318</v>
      </c>
      <c r="C50" s="25"/>
      <c r="D50" s="26" t="n">
        <v>0</v>
      </c>
      <c r="E50" s="10" t="n">
        <v>10720</v>
      </c>
      <c r="F50" s="10" t="n">
        <v>890</v>
      </c>
      <c r="G50" s="13" t="n">
        <v>18.41</v>
      </c>
      <c r="H50" s="14" t="n">
        <f aca="false">VlrBack</f>
        <v>0.375692307692308</v>
      </c>
      <c r="I50" s="14" t="n">
        <f aca="false">VrlBack</f>
        <v>0.056</v>
      </c>
      <c r="J50" s="15" t="n">
        <v>168.3</v>
      </c>
      <c r="K50" s="15" t="n">
        <v>75.8</v>
      </c>
      <c r="L50" s="9" t="n">
        <v>0.06</v>
      </c>
      <c r="M50" s="9" t="n">
        <v>0.082</v>
      </c>
      <c r="N50" s="9" t="n">
        <v>0.139</v>
      </c>
      <c r="O50" s="2" t="s">
        <v>319</v>
      </c>
      <c r="P50" s="24" t="s">
        <v>320</v>
      </c>
      <c r="Q50" s="24"/>
      <c r="R50" s="2" t="s">
        <v>321</v>
      </c>
      <c r="S50" s="27" t="s">
        <v>322</v>
      </c>
      <c r="XEH50" s="0"/>
      <c r="XEI50" s="0"/>
    </row>
    <row r="51" s="2" customFormat="true" ht="35.25" hidden="false" customHeight="true" outlineLevel="0" collapsed="false">
      <c r="A51" s="24" t="s">
        <v>323</v>
      </c>
      <c r="B51" s="4" t="s">
        <v>324</v>
      </c>
      <c r="C51" s="25"/>
      <c r="D51" s="26" t="n">
        <v>0</v>
      </c>
      <c r="E51" s="10" t="n">
        <v>13920</v>
      </c>
      <c r="F51" s="10" t="n">
        <v>1080</v>
      </c>
      <c r="G51" s="13" t="n">
        <v>23.06</v>
      </c>
      <c r="H51" s="14" t="n">
        <f aca="false">VlrBack</f>
        <v>0.375692307692308</v>
      </c>
      <c r="I51" s="14" t="n">
        <f aca="false">VrlBack</f>
        <v>0.056</v>
      </c>
      <c r="J51" s="15" t="n">
        <v>192.2</v>
      </c>
      <c r="K51" s="15" t="n">
        <v>89.2</v>
      </c>
      <c r="L51" s="9" t="n">
        <v>0.067</v>
      </c>
      <c r="M51" s="9" t="n">
        <v>0.094</v>
      </c>
      <c r="N51" s="9" t="n">
        <v>0.168</v>
      </c>
      <c r="O51" s="2" t="s">
        <v>325</v>
      </c>
      <c r="P51" s="24" t="s">
        <v>326</v>
      </c>
      <c r="Q51" s="24"/>
      <c r="R51" s="2" t="s">
        <v>327</v>
      </c>
      <c r="S51" s="27" t="s">
        <v>328</v>
      </c>
      <c r="XEH51" s="0"/>
      <c r="XEI51" s="0"/>
    </row>
    <row r="52" s="2" customFormat="true" ht="46.5" hidden="false" customHeight="true" outlineLevel="0" collapsed="false">
      <c r="A52" s="24" t="s">
        <v>329</v>
      </c>
      <c r="B52" s="4" t="s">
        <v>330</v>
      </c>
      <c r="C52" s="25"/>
      <c r="D52" s="12"/>
      <c r="E52" s="10" t="n">
        <v>6030</v>
      </c>
      <c r="F52" s="10" t="n">
        <v>725</v>
      </c>
      <c r="G52" s="13" t="n">
        <v>7.17</v>
      </c>
      <c r="H52" s="14" t="n">
        <f aca="false">VlrBack</f>
        <v>0.375692307692308</v>
      </c>
      <c r="I52" s="14" t="n">
        <f aca="false">VrlBack</f>
        <v>0.056</v>
      </c>
      <c r="J52" s="15" t="n">
        <v>75.3</v>
      </c>
      <c r="K52" s="15" t="n">
        <v>40.6</v>
      </c>
      <c r="L52" s="9" t="n">
        <v>0.044</v>
      </c>
      <c r="M52" s="9" t="n">
        <v>0.088</v>
      </c>
      <c r="N52" s="9" t="n">
        <v>0.127</v>
      </c>
      <c r="O52" s="2" t="s">
        <v>331</v>
      </c>
      <c r="P52" s="24" t="s">
        <v>332</v>
      </c>
      <c r="Q52" s="24"/>
      <c r="R52" s="2" t="s">
        <v>333</v>
      </c>
      <c r="S52" s="27" t="s">
        <v>334</v>
      </c>
      <c r="XEH52" s="0"/>
      <c r="XEI52" s="0"/>
    </row>
    <row r="53" s="2" customFormat="true" ht="24" hidden="false" customHeight="true" outlineLevel="0" collapsed="false">
      <c r="A53" s="24" t="s">
        <v>335</v>
      </c>
      <c r="B53" s="4" t="s">
        <v>336</v>
      </c>
      <c r="C53" s="25"/>
      <c r="D53" s="12"/>
      <c r="E53" s="10" t="n">
        <v>9550</v>
      </c>
      <c r="F53" s="10" t="n">
        <v>865</v>
      </c>
      <c r="G53" s="13" t="n">
        <v>14.14</v>
      </c>
      <c r="H53" s="14" t="n">
        <f aca="false">VlrBack</f>
        <v>0.375692307692308</v>
      </c>
      <c r="I53" s="14" t="n">
        <f aca="false">VrlBack</f>
        <v>0.056</v>
      </c>
      <c r="J53" s="15" t="n">
        <v>138.8</v>
      </c>
      <c r="K53" s="15" t="n">
        <v>62.3</v>
      </c>
      <c r="L53" s="9" t="n">
        <v>0.034</v>
      </c>
      <c r="M53" s="9" t="n">
        <v>0.058</v>
      </c>
      <c r="N53" s="9" t="n">
        <v>0.084</v>
      </c>
      <c r="O53" s="2" t="s">
        <v>337</v>
      </c>
      <c r="P53" s="24" t="s">
        <v>338</v>
      </c>
      <c r="Q53" s="24"/>
      <c r="R53" s="2" t="s">
        <v>339</v>
      </c>
      <c r="S53" s="27" t="s">
        <v>340</v>
      </c>
      <c r="XEH53" s="0"/>
      <c r="XEI53" s="0"/>
    </row>
    <row r="54" s="2" customFormat="true" ht="24" hidden="false" customHeight="true" outlineLevel="0" collapsed="false">
      <c r="A54" s="24" t="s">
        <v>341</v>
      </c>
      <c r="B54" s="4" t="s">
        <v>342</v>
      </c>
      <c r="C54" s="25"/>
      <c r="D54" s="26" t="n">
        <v>0</v>
      </c>
      <c r="E54" s="10" t="n">
        <v>12060</v>
      </c>
      <c r="F54" s="10" t="n">
        <v>940</v>
      </c>
      <c r="G54" s="13" t="n">
        <v>12.01</v>
      </c>
      <c r="H54" s="14" t="n">
        <f aca="false">VlrBack</f>
        <v>0.375692307692308</v>
      </c>
      <c r="I54" s="14" t="n">
        <f aca="false">VrlBack</f>
        <v>0.056</v>
      </c>
      <c r="J54" s="15" t="n">
        <v>165.7</v>
      </c>
      <c r="K54" s="15" t="n">
        <v>76.6</v>
      </c>
      <c r="L54" s="9" t="n">
        <v>0.037</v>
      </c>
      <c r="M54" s="9" t="n">
        <v>0.065</v>
      </c>
      <c r="N54" s="9" t="n">
        <v>0.103</v>
      </c>
      <c r="O54" s="2" t="s">
        <v>343</v>
      </c>
      <c r="P54" s="24" t="s">
        <v>344</v>
      </c>
      <c r="Q54" s="24"/>
      <c r="R54" s="2" t="s">
        <v>345</v>
      </c>
      <c r="S54" s="27" t="s">
        <v>346</v>
      </c>
      <c r="XEH54" s="0"/>
      <c r="XEI54" s="0"/>
    </row>
    <row r="55" s="2" customFormat="true" ht="24" hidden="false" customHeight="true" outlineLevel="0" collapsed="false">
      <c r="A55" s="24" t="s">
        <v>347</v>
      </c>
      <c r="B55" s="4" t="s">
        <v>348</v>
      </c>
      <c r="C55" s="25"/>
      <c r="D55" s="12" t="n">
        <v>0</v>
      </c>
      <c r="E55" s="10" t="n">
        <v>2180</v>
      </c>
      <c r="F55" s="10" t="n">
        <v>435</v>
      </c>
      <c r="G55" s="13" t="n">
        <v>8.14</v>
      </c>
      <c r="H55" s="14" t="n">
        <f aca="false">VlrTop</f>
        <v>0.385571428571429</v>
      </c>
      <c r="I55" s="14" t="n">
        <f aca="false">VrlTop</f>
        <v>0.048</v>
      </c>
      <c r="J55" s="15" t="n">
        <v>55.9</v>
      </c>
      <c r="K55" s="15" t="n">
        <v>35.2</v>
      </c>
      <c r="L55" s="9" t="n">
        <v>0.034</v>
      </c>
      <c r="M55" s="9" t="n">
        <v>0.064</v>
      </c>
      <c r="N55" s="9" t="n">
        <v>0.106</v>
      </c>
      <c r="O55" s="2" t="s">
        <v>349</v>
      </c>
      <c r="P55" s="24" t="s">
        <v>350</v>
      </c>
      <c r="Q55" s="24"/>
      <c r="R55" s="2" t="s">
        <v>351</v>
      </c>
      <c r="S55" s="27" t="s">
        <v>352</v>
      </c>
      <c r="XEH55" s="0"/>
      <c r="XEI55" s="0"/>
    </row>
    <row r="56" s="2" customFormat="true" ht="24" hidden="false" customHeight="true" outlineLevel="0" collapsed="false">
      <c r="A56" s="24" t="s">
        <v>353</v>
      </c>
      <c r="B56" s="4" t="s">
        <v>354</v>
      </c>
      <c r="C56" s="25"/>
      <c r="D56" s="26" t="n">
        <v>0</v>
      </c>
      <c r="E56" s="10" t="n">
        <v>4840</v>
      </c>
      <c r="F56" s="10" t="n">
        <v>620</v>
      </c>
      <c r="G56" s="13" t="n">
        <v>6.76</v>
      </c>
      <c r="H56" s="14" t="n">
        <f aca="false">VlrBack</f>
        <v>0.375692307692308</v>
      </c>
      <c r="I56" s="14" t="n">
        <f aca="false">VrlBack</f>
        <v>0.056</v>
      </c>
      <c r="J56" s="15" t="n">
        <v>59.4</v>
      </c>
      <c r="K56" s="15" t="n">
        <v>38.9</v>
      </c>
      <c r="L56" s="9" t="n">
        <v>0.036</v>
      </c>
      <c r="M56" s="9" t="n">
        <v>0.066</v>
      </c>
      <c r="N56" s="9" t="n">
        <v>0.102</v>
      </c>
      <c r="O56" s="2" t="s">
        <v>355</v>
      </c>
      <c r="P56" s="24" t="s">
        <v>356</v>
      </c>
      <c r="Q56" s="24"/>
      <c r="R56" s="2" t="s">
        <v>357</v>
      </c>
      <c r="S56" s="27" t="s">
        <v>358</v>
      </c>
      <c r="XEH56" s="0"/>
      <c r="XEI56" s="0"/>
    </row>
    <row r="57" s="2" customFormat="true" ht="35.25" hidden="false" customHeight="true" outlineLevel="0" collapsed="false">
      <c r="A57" s="24" t="s">
        <v>359</v>
      </c>
      <c r="B57" s="4" t="s">
        <v>360</v>
      </c>
      <c r="C57" s="28" t="s">
        <v>62</v>
      </c>
      <c r="D57" s="12"/>
      <c r="E57" s="10" t="n">
        <v>2220</v>
      </c>
      <c r="F57" s="10" t="n">
        <v>435</v>
      </c>
      <c r="G57" s="13" t="n">
        <v>10.23</v>
      </c>
      <c r="H57" s="14" t="n">
        <f aca="false">VlrTop</f>
        <v>0.385571428571429</v>
      </c>
      <c r="I57" s="14" t="n">
        <f aca="false">VrlTop</f>
        <v>0.048</v>
      </c>
      <c r="J57" s="15" t="n">
        <v>71.5</v>
      </c>
      <c r="K57" s="15" t="n">
        <v>37.3</v>
      </c>
      <c r="L57" s="9" t="n">
        <v>0.045</v>
      </c>
      <c r="M57" s="9" t="n">
        <v>0.079</v>
      </c>
      <c r="N57" s="9" t="n">
        <v>0.114</v>
      </c>
      <c r="O57" s="2" t="s">
        <v>361</v>
      </c>
      <c r="P57" s="24" t="s">
        <v>362</v>
      </c>
      <c r="Q57" s="24"/>
      <c r="R57" s="2" t="s">
        <v>363</v>
      </c>
      <c r="S57" s="27" t="s">
        <v>364</v>
      </c>
      <c r="XEH57" s="0"/>
      <c r="XEI57" s="0"/>
    </row>
    <row r="58" s="2" customFormat="true" ht="35.25" hidden="false" customHeight="true" outlineLevel="0" collapsed="false">
      <c r="A58" s="24" t="s">
        <v>365</v>
      </c>
      <c r="B58" s="4" t="s">
        <v>366</v>
      </c>
      <c r="C58" s="25"/>
      <c r="D58" s="12"/>
      <c r="E58" s="10" t="n">
        <v>6750</v>
      </c>
      <c r="F58" s="10" t="n">
        <v>830</v>
      </c>
      <c r="G58" s="13" t="n">
        <v>14.93</v>
      </c>
      <c r="H58" s="14" t="n">
        <f aca="false">VlrBack</f>
        <v>0.375692307692308</v>
      </c>
      <c r="I58" s="14" t="n">
        <f aca="false">VrlBack</f>
        <v>0.056</v>
      </c>
      <c r="J58" s="15" t="n">
        <v>131.6</v>
      </c>
      <c r="K58" s="15" t="n">
        <v>67.2</v>
      </c>
      <c r="L58" s="9" t="n">
        <v>0.024</v>
      </c>
      <c r="M58" s="9" t="n">
        <v>0.056</v>
      </c>
      <c r="N58" s="9" t="n">
        <v>0.084</v>
      </c>
      <c r="O58" s="2" t="s">
        <v>367</v>
      </c>
      <c r="P58" s="24" t="s">
        <v>368</v>
      </c>
      <c r="Q58" s="24"/>
      <c r="R58" s="2" t="s">
        <v>369</v>
      </c>
      <c r="S58" s="27" t="s">
        <v>370</v>
      </c>
      <c r="XEH58" s="0"/>
      <c r="XEI58" s="0"/>
    </row>
    <row r="59" s="2" customFormat="true" ht="57.75" hidden="false" customHeight="true" outlineLevel="0" collapsed="false">
      <c r="A59" s="24" t="s">
        <v>371</v>
      </c>
      <c r="B59" s="4" t="s">
        <v>372</v>
      </c>
      <c r="C59" s="25"/>
      <c r="D59" s="12"/>
      <c r="E59" s="10" t="n">
        <v>1520</v>
      </c>
      <c r="F59" s="10" t="n">
        <v>390</v>
      </c>
      <c r="G59" s="13" t="n">
        <v>7.33</v>
      </c>
      <c r="H59" s="14" t="n">
        <f aca="false">VlrTop</f>
        <v>0.385571428571429</v>
      </c>
      <c r="I59" s="14" t="n">
        <f aca="false">VrlTop</f>
        <v>0.048</v>
      </c>
      <c r="J59" s="15" t="n">
        <v>50.9</v>
      </c>
      <c r="K59" s="15" t="n">
        <v>26.3</v>
      </c>
      <c r="L59" s="9" t="n">
        <v>0.03</v>
      </c>
      <c r="M59" s="9" t="n">
        <v>0.06</v>
      </c>
      <c r="N59" s="9" t="n">
        <v>0.09</v>
      </c>
      <c r="O59" s="2" t="s">
        <v>373</v>
      </c>
      <c r="P59" s="24" t="s">
        <v>374</v>
      </c>
      <c r="Q59" s="24"/>
      <c r="R59" s="2" t="s">
        <v>375</v>
      </c>
      <c r="S59" s="27" t="s">
        <v>376</v>
      </c>
      <c r="XEH59" s="0"/>
      <c r="XEI59" s="0"/>
    </row>
    <row r="60" s="2" customFormat="true" ht="57.75" hidden="false" customHeight="true" outlineLevel="0" collapsed="false">
      <c r="A60" s="24" t="s">
        <v>377</v>
      </c>
      <c r="B60" s="4" t="s">
        <v>378</v>
      </c>
      <c r="C60" s="25"/>
      <c r="D60" s="12"/>
      <c r="E60" s="10" t="n">
        <v>2450</v>
      </c>
      <c r="F60" s="10" t="n">
        <v>460</v>
      </c>
      <c r="G60" s="13" t="n">
        <v>8.35</v>
      </c>
      <c r="H60" s="14" t="n">
        <f aca="false">VlrTop</f>
        <v>0.385571428571429</v>
      </c>
      <c r="I60" s="14" t="n">
        <f aca="false">VrlTop</f>
        <v>0.048</v>
      </c>
      <c r="J60" s="15" t="n">
        <v>64.8</v>
      </c>
      <c r="K60" s="15" t="n">
        <v>18.9</v>
      </c>
      <c r="L60" s="9" t="n">
        <v>0.025</v>
      </c>
      <c r="M60" s="9" t="n">
        <v>0.049</v>
      </c>
      <c r="N60" s="9" t="n">
        <v>0.073</v>
      </c>
      <c r="O60" s="2" t="s">
        <v>379</v>
      </c>
      <c r="P60" s="24" t="s">
        <v>380</v>
      </c>
      <c r="Q60" s="24"/>
      <c r="R60" s="2" t="s">
        <v>381</v>
      </c>
      <c r="S60" s="27" t="s">
        <v>382</v>
      </c>
      <c r="XEH60" s="0"/>
      <c r="XEI60" s="0"/>
    </row>
    <row r="61" s="2" customFormat="true" ht="24" hidden="false" customHeight="true" outlineLevel="0" collapsed="false">
      <c r="A61" s="24" t="s">
        <v>383</v>
      </c>
      <c r="B61" s="4" t="s">
        <v>384</v>
      </c>
      <c r="C61" s="28" t="s">
        <v>62</v>
      </c>
      <c r="D61" s="30"/>
      <c r="E61" s="10" t="n">
        <v>3670</v>
      </c>
      <c r="F61" s="10" t="n">
        <v>520</v>
      </c>
      <c r="G61" s="13" t="n">
        <v>10.1</v>
      </c>
      <c r="H61" s="14" t="n">
        <f aca="false">VlrBack</f>
        <v>0.375692307692308</v>
      </c>
      <c r="I61" s="14" t="n">
        <f aca="false">VrlBack</f>
        <v>0.056</v>
      </c>
      <c r="J61" s="15" t="n">
        <v>82</v>
      </c>
      <c r="K61" s="15" t="n">
        <v>42</v>
      </c>
      <c r="L61" s="9" t="n">
        <v>0.041</v>
      </c>
      <c r="M61" s="9" t="n">
        <v>0.06</v>
      </c>
      <c r="N61" s="9" t="n">
        <v>0.104</v>
      </c>
      <c r="O61" s="2" t="s">
        <v>385</v>
      </c>
      <c r="P61" s="24" t="s">
        <v>386</v>
      </c>
      <c r="Q61" s="24"/>
      <c r="R61" s="2" t="s">
        <v>387</v>
      </c>
      <c r="S61" s="27" t="s">
        <v>388</v>
      </c>
      <c r="XEH61" s="0"/>
      <c r="XEI61" s="0"/>
    </row>
    <row r="62" s="2" customFormat="true" ht="35.25" hidden="false" customHeight="true" outlineLevel="0" collapsed="false">
      <c r="A62" s="24" t="s">
        <v>389</v>
      </c>
      <c r="B62" s="4" t="s">
        <v>390</v>
      </c>
      <c r="C62" s="25"/>
      <c r="D62" s="12"/>
      <c r="E62" s="10" t="n">
        <v>3510</v>
      </c>
      <c r="F62" s="10" t="n">
        <v>560</v>
      </c>
      <c r="G62" s="13" t="n">
        <v>10.88</v>
      </c>
      <c r="H62" s="14" t="n">
        <f aca="false">VlrBack</f>
        <v>0.375692307692308</v>
      </c>
      <c r="I62" s="14" t="n">
        <f aca="false">VrlBack</f>
        <v>0.056</v>
      </c>
      <c r="J62" s="15" t="n">
        <v>72.9</v>
      </c>
      <c r="K62" s="15" t="n">
        <v>43.5</v>
      </c>
      <c r="L62" s="9" t="n">
        <v>0.03</v>
      </c>
      <c r="M62" s="9" t="n">
        <v>0.05</v>
      </c>
      <c r="N62" s="9" t="n">
        <v>0.083</v>
      </c>
      <c r="O62" s="2" t="s">
        <v>391</v>
      </c>
      <c r="P62" s="24" t="s">
        <v>392</v>
      </c>
      <c r="Q62" s="24"/>
      <c r="R62" s="2" t="s">
        <v>393</v>
      </c>
      <c r="S62" s="27" t="s">
        <v>394</v>
      </c>
      <c r="XEH62" s="0"/>
      <c r="XEI62" s="0"/>
    </row>
    <row r="63" s="2" customFormat="true" ht="46.5" hidden="false" customHeight="true" outlineLevel="0" collapsed="false">
      <c r="A63" s="24" t="s">
        <v>395</v>
      </c>
      <c r="B63" s="4" t="s">
        <v>396</v>
      </c>
      <c r="C63" s="25"/>
      <c r="D63" s="26" t="n">
        <v>0</v>
      </c>
      <c r="E63" s="10" t="n">
        <v>10790</v>
      </c>
      <c r="F63" s="10" t="n">
        <v>915</v>
      </c>
      <c r="G63" s="13" t="n">
        <v>14.07</v>
      </c>
      <c r="H63" s="14" t="n">
        <f aca="false">VlrBack</f>
        <v>0.375692307692308</v>
      </c>
      <c r="I63" s="14" t="n">
        <f aca="false">VrlBack</f>
        <v>0.056</v>
      </c>
      <c r="J63" s="15" t="n">
        <v>128.6</v>
      </c>
      <c r="K63" s="15" t="n">
        <v>63.5</v>
      </c>
      <c r="L63" s="9" t="n">
        <v>0.054</v>
      </c>
      <c r="M63" s="9" t="n">
        <v>0.088</v>
      </c>
      <c r="N63" s="9" t="n">
        <v>0.143</v>
      </c>
      <c r="O63" s="2" t="s">
        <v>397</v>
      </c>
      <c r="P63" s="24" t="s">
        <v>398</v>
      </c>
      <c r="Q63" s="24"/>
      <c r="R63" s="2" t="s">
        <v>399</v>
      </c>
      <c r="S63" s="27" t="s">
        <v>400</v>
      </c>
      <c r="XEH63" s="0"/>
      <c r="XEI63" s="0"/>
    </row>
    <row r="64" s="2" customFormat="true" ht="69.75" hidden="false" customHeight="true" outlineLevel="0" collapsed="false">
      <c r="A64" s="24" t="s">
        <v>401</v>
      </c>
      <c r="B64" s="4" t="s">
        <v>402</v>
      </c>
      <c r="C64" s="25"/>
      <c r="D64" s="12" t="n">
        <v>0</v>
      </c>
      <c r="E64" s="10" t="n">
        <v>10670</v>
      </c>
      <c r="F64" s="10" t="n">
        <v>880</v>
      </c>
      <c r="G64" s="13" t="n">
        <v>15.53</v>
      </c>
      <c r="H64" s="14" t="n">
        <f aca="false">VlrBack</f>
        <v>0.375692307692308</v>
      </c>
      <c r="I64" s="14" t="n">
        <f aca="false">VrlBack</f>
        <v>0.056</v>
      </c>
      <c r="J64" s="15" t="n">
        <v>93</v>
      </c>
      <c r="K64" s="15" t="n">
        <v>57</v>
      </c>
      <c r="L64" s="9" t="n">
        <v>0.038</v>
      </c>
      <c r="M64" s="9" t="n">
        <v>0.068</v>
      </c>
      <c r="N64" s="9" t="n">
        <v>0.106</v>
      </c>
      <c r="O64" s="2" t="s">
        <v>403</v>
      </c>
      <c r="P64" s="24" t="s">
        <v>404</v>
      </c>
      <c r="Q64" s="24"/>
      <c r="R64" s="2" t="s">
        <v>405</v>
      </c>
      <c r="S64" s="27" t="s">
        <v>406</v>
      </c>
      <c r="XEH64" s="0"/>
      <c r="XEI64" s="0"/>
    </row>
    <row r="65" s="2" customFormat="true" ht="35.25" hidden="false" customHeight="true" outlineLevel="0" collapsed="false">
      <c r="A65" s="24" t="s">
        <v>407</v>
      </c>
      <c r="B65" s="4" t="s">
        <v>408</v>
      </c>
      <c r="C65" s="25"/>
      <c r="D65" s="12"/>
      <c r="E65" s="10" t="n">
        <v>1820</v>
      </c>
      <c r="F65" s="10" t="n">
        <v>380</v>
      </c>
      <c r="G65" s="13" t="n">
        <v>7.52</v>
      </c>
      <c r="H65" s="14" t="n">
        <f aca="false">VlrTop</f>
        <v>0.385571428571429</v>
      </c>
      <c r="I65" s="14" t="n">
        <f aca="false">VrlTop</f>
        <v>0.048</v>
      </c>
      <c r="J65" s="15" t="n">
        <v>54</v>
      </c>
      <c r="K65" s="15" t="n">
        <v>30.3</v>
      </c>
      <c r="L65" s="9" t="n">
        <v>0.038</v>
      </c>
      <c r="M65" s="9" t="n">
        <v>0.053</v>
      </c>
      <c r="N65" s="9" t="n">
        <v>0.1</v>
      </c>
      <c r="O65" s="2" t="s">
        <v>409</v>
      </c>
      <c r="P65" s="24" t="s">
        <v>410</v>
      </c>
      <c r="Q65" s="24"/>
      <c r="R65" s="2" t="s">
        <v>411</v>
      </c>
      <c r="S65" s="27" t="s">
        <v>412</v>
      </c>
      <c r="XEH65" s="0"/>
      <c r="XEI65" s="0"/>
    </row>
    <row r="66" s="2" customFormat="true" ht="15.75" hidden="false" customHeight="true" outlineLevel="0" collapsed="false">
      <c r="A66" s="24" t="s">
        <v>413</v>
      </c>
      <c r="B66" s="4" t="s">
        <v>414</v>
      </c>
      <c r="C66" s="25"/>
      <c r="D66" s="12"/>
      <c r="E66" s="10" t="n">
        <v>6580</v>
      </c>
      <c r="F66" s="10" t="n">
        <v>785</v>
      </c>
      <c r="G66" s="13" t="n">
        <v>15.7</v>
      </c>
      <c r="H66" s="14" t="n">
        <f aca="false">VlrBack</f>
        <v>0.375692307692308</v>
      </c>
      <c r="I66" s="14" t="n">
        <f aca="false">VrlBack</f>
        <v>0.056</v>
      </c>
      <c r="J66" s="15" t="n">
        <v>124.8</v>
      </c>
      <c r="K66" s="15" t="n">
        <v>60.3</v>
      </c>
      <c r="L66" s="9" t="n">
        <v>0.055</v>
      </c>
      <c r="M66" s="9" t="n">
        <v>0.106</v>
      </c>
      <c r="N66" s="9" t="n">
        <v>0.161</v>
      </c>
      <c r="O66" s="2" t="s">
        <v>415</v>
      </c>
      <c r="P66" s="24" t="s">
        <v>416</v>
      </c>
      <c r="Q66" s="24"/>
      <c r="R66" s="2" t="s">
        <v>417</v>
      </c>
      <c r="S66" s="27" t="s">
        <v>418</v>
      </c>
      <c r="XEH66" s="0"/>
      <c r="XEI66" s="0"/>
    </row>
    <row r="67" s="2" customFormat="true" ht="24" hidden="false" customHeight="true" outlineLevel="0" collapsed="false">
      <c r="A67" s="24" t="s">
        <v>419</v>
      </c>
      <c r="B67" s="4" t="s">
        <v>420</v>
      </c>
      <c r="C67" s="25"/>
      <c r="D67" s="12"/>
      <c r="E67" s="10" t="n">
        <v>5030</v>
      </c>
      <c r="F67" s="10" t="n">
        <v>750</v>
      </c>
      <c r="G67" s="13" t="n">
        <v>11</v>
      </c>
      <c r="H67" s="14" t="n">
        <f aca="false">VlrBack</f>
        <v>0.375692307692308</v>
      </c>
      <c r="I67" s="14" t="n">
        <f aca="false">VrlBack</f>
        <v>0.056</v>
      </c>
      <c r="J67" s="15" t="n">
        <v>91.7</v>
      </c>
      <c r="K67" s="15" t="n">
        <v>47.1</v>
      </c>
      <c r="L67" s="9" t="n">
        <v>0.053</v>
      </c>
      <c r="M67" s="9" t="n">
        <v>0.108</v>
      </c>
      <c r="N67" s="9" t="n">
        <v>0.164</v>
      </c>
      <c r="O67" s="2" t="s">
        <v>421</v>
      </c>
      <c r="P67" s="24" t="s">
        <v>422</v>
      </c>
      <c r="Q67" s="24"/>
      <c r="R67" s="2" t="s">
        <v>423</v>
      </c>
      <c r="S67" s="27" t="s">
        <v>424</v>
      </c>
      <c r="XEH67" s="0"/>
      <c r="XEI67" s="0"/>
    </row>
    <row r="68" s="2" customFormat="true" ht="46.5" hidden="false" customHeight="true" outlineLevel="0" collapsed="false">
      <c r="A68" s="24" t="s">
        <v>425</v>
      </c>
      <c r="B68" s="4" t="s">
        <v>426</v>
      </c>
      <c r="C68" s="25"/>
      <c r="D68" s="26" t="n">
        <v>0</v>
      </c>
      <c r="E68" s="10" t="n">
        <v>5030</v>
      </c>
      <c r="F68" s="10" t="n">
        <v>640</v>
      </c>
      <c r="G68" s="13" t="n">
        <v>11.59</v>
      </c>
      <c r="H68" s="14" t="n">
        <v>0.495</v>
      </c>
      <c r="I68" s="14" t="n">
        <v>0.052</v>
      </c>
      <c r="J68" s="15"/>
      <c r="K68" s="15"/>
      <c r="L68" s="9" t="n">
        <v>0.043</v>
      </c>
      <c r="M68" s="9" t="n">
        <v>0.064</v>
      </c>
      <c r="N68" s="9" t="n">
        <v>0.107</v>
      </c>
      <c r="O68" s="2" t="s">
        <v>427</v>
      </c>
      <c r="P68" s="24" t="s">
        <v>428</v>
      </c>
      <c r="Q68" s="24"/>
      <c r="R68" s="2" t="s">
        <v>429</v>
      </c>
      <c r="S68" s="27" t="s">
        <v>430</v>
      </c>
      <c r="XEH68" s="0"/>
      <c r="XEI68" s="0"/>
    </row>
    <row r="69" s="2" customFormat="true" ht="57.75" hidden="false" customHeight="true" outlineLevel="0" collapsed="false">
      <c r="A69" s="24" t="s">
        <v>431</v>
      </c>
      <c r="B69" s="4" t="s">
        <v>432</v>
      </c>
      <c r="C69" s="28" t="s">
        <v>62</v>
      </c>
      <c r="D69" s="12"/>
      <c r="E69" s="10" t="n">
        <v>2000</v>
      </c>
      <c r="F69" s="10" t="n">
        <v>415</v>
      </c>
      <c r="G69" s="13" t="n">
        <v>8.41</v>
      </c>
      <c r="H69" s="14" t="n">
        <v>0.36</v>
      </c>
      <c r="I69" s="14" t="n">
        <v>0.046</v>
      </c>
      <c r="J69" s="15" t="n">
        <v>61.7</v>
      </c>
      <c r="K69" s="15" t="n">
        <v>39.2</v>
      </c>
      <c r="L69" s="9" t="n">
        <v>0.024</v>
      </c>
      <c r="M69" s="9" t="n">
        <v>0.047</v>
      </c>
      <c r="N69" s="9" t="n">
        <v>0.069</v>
      </c>
      <c r="O69" s="2" t="s">
        <v>433</v>
      </c>
      <c r="P69" s="24" t="s">
        <v>434</v>
      </c>
      <c r="Q69" s="24"/>
      <c r="R69" s="2" t="s">
        <v>435</v>
      </c>
      <c r="S69" s="27" t="s">
        <v>436</v>
      </c>
      <c r="XEH69" s="0"/>
      <c r="XEI69" s="0"/>
    </row>
    <row r="70" s="2" customFormat="true" ht="15.75" hidden="false" customHeight="true" outlineLevel="0" collapsed="false">
      <c r="A70" s="24" t="s">
        <v>437</v>
      </c>
      <c r="B70" s="4" t="s">
        <v>438</v>
      </c>
      <c r="C70" s="25"/>
      <c r="D70" s="26" t="n">
        <v>0</v>
      </c>
      <c r="E70" s="10" t="n">
        <v>14140</v>
      </c>
      <c r="F70" s="10" t="n">
        <v>1095</v>
      </c>
      <c r="G70" s="13" t="n">
        <v>18.7</v>
      </c>
      <c r="H70" s="14" t="n">
        <f aca="false">VlrBack</f>
        <v>0.375692307692308</v>
      </c>
      <c r="I70" s="14" t="n">
        <f aca="false">VrlBack</f>
        <v>0.056</v>
      </c>
      <c r="J70" s="15" t="n">
        <v>158</v>
      </c>
      <c r="K70" s="15" t="n">
        <v>81.3</v>
      </c>
      <c r="L70" s="9" t="n">
        <v>0.027</v>
      </c>
      <c r="M70" s="9" t="n">
        <v>0.043</v>
      </c>
      <c r="N70" s="9" t="n">
        <v>0.07</v>
      </c>
      <c r="O70" s="2" t="s">
        <v>439</v>
      </c>
      <c r="P70" s="24" t="s">
        <v>440</v>
      </c>
      <c r="Q70" s="24"/>
      <c r="R70" s="2" t="s">
        <v>441</v>
      </c>
      <c r="S70" s="27" t="s">
        <v>442</v>
      </c>
      <c r="XEH70" s="0"/>
      <c r="XEI70" s="0"/>
    </row>
    <row r="71" s="2" customFormat="true" ht="46.5" hidden="false" customHeight="true" outlineLevel="0" collapsed="false">
      <c r="A71" s="24" t="s">
        <v>443</v>
      </c>
      <c r="B71" s="4" t="s">
        <v>444</v>
      </c>
      <c r="C71" s="25"/>
      <c r="D71" s="26" t="n">
        <v>0</v>
      </c>
      <c r="E71" s="10" t="n">
        <v>4120</v>
      </c>
      <c r="F71" s="10" t="n">
        <v>600</v>
      </c>
      <c r="G71" s="13" t="n">
        <v>9.31</v>
      </c>
      <c r="H71" s="14" t="n">
        <v>0.314</v>
      </c>
      <c r="I71" s="14" t="n">
        <v>0.033</v>
      </c>
      <c r="J71" s="15" t="n">
        <v>74.4</v>
      </c>
      <c r="K71" s="15" t="n">
        <v>43.3</v>
      </c>
      <c r="L71" s="9" t="n">
        <v>0.03</v>
      </c>
      <c r="M71" s="9" t="n">
        <v>0.046</v>
      </c>
      <c r="N71" s="9" t="n">
        <v>0.08</v>
      </c>
      <c r="O71" s="2" t="s">
        <v>445</v>
      </c>
      <c r="P71" s="24" t="s">
        <v>446</v>
      </c>
      <c r="Q71" s="24"/>
      <c r="R71" s="2" t="s">
        <v>447</v>
      </c>
      <c r="S71" s="27" t="s">
        <v>448</v>
      </c>
      <c r="XEH71" s="0"/>
      <c r="XEI71" s="0"/>
    </row>
    <row r="72" s="2" customFormat="true" ht="46.5" hidden="false" customHeight="true" outlineLevel="0" collapsed="false">
      <c r="A72" s="24" t="s">
        <v>449</v>
      </c>
      <c r="B72" s="4" t="s">
        <v>450</v>
      </c>
      <c r="C72" s="28"/>
      <c r="D72" s="12"/>
      <c r="E72" s="10" t="n">
        <v>1560</v>
      </c>
      <c r="F72" s="10" t="n">
        <v>530</v>
      </c>
      <c r="G72" s="13" t="n">
        <v>12.55</v>
      </c>
      <c r="H72" s="14" t="n">
        <v>0.341</v>
      </c>
      <c r="I72" s="14" t="n">
        <f aca="false">VrlBack</f>
        <v>0.056</v>
      </c>
      <c r="J72" s="15" t="n">
        <v>84.8</v>
      </c>
      <c r="K72" s="15" t="n">
        <v>43.5</v>
      </c>
      <c r="L72" s="9" t="n">
        <v>0.052</v>
      </c>
      <c r="M72" s="9" t="n">
        <v>0.088</v>
      </c>
      <c r="N72" s="9" t="n">
        <v>0.136</v>
      </c>
      <c r="O72" s="2" t="s">
        <v>451</v>
      </c>
      <c r="P72" s="24" t="s">
        <v>452</v>
      </c>
      <c r="Q72" s="24"/>
      <c r="R72" s="2" t="s">
        <v>453</v>
      </c>
      <c r="S72" s="27" t="s">
        <v>454</v>
      </c>
      <c r="XEH72" s="0"/>
      <c r="XEI72" s="0"/>
    </row>
    <row r="73" s="2" customFormat="true" ht="24" hidden="false" customHeight="true" outlineLevel="0" collapsed="false">
      <c r="A73" s="24" t="s">
        <v>455</v>
      </c>
      <c r="B73" s="4" t="s">
        <v>456</v>
      </c>
      <c r="C73" s="25"/>
      <c r="D73" s="12"/>
      <c r="E73" s="10" t="n">
        <v>14800</v>
      </c>
      <c r="F73" s="10" t="n">
        <v>1085</v>
      </c>
      <c r="G73" s="13" t="n">
        <v>22.33</v>
      </c>
      <c r="H73" s="14" t="n">
        <f aca="false">VlrBack</f>
        <v>0.375692307692308</v>
      </c>
      <c r="I73" s="14" t="n">
        <f aca="false">VrlBack</f>
        <v>0.056</v>
      </c>
      <c r="J73" s="15" t="n">
        <v>175.1</v>
      </c>
      <c r="K73" s="15" t="n">
        <v>95.5</v>
      </c>
      <c r="L73" s="9" t="n">
        <v>0.053</v>
      </c>
      <c r="M73" s="9" t="n">
        <v>0.077</v>
      </c>
      <c r="N73" s="9" t="n">
        <v>0.126</v>
      </c>
      <c r="O73" s="2" t="s">
        <v>457</v>
      </c>
      <c r="P73" s="24" t="s">
        <v>458</v>
      </c>
      <c r="Q73" s="24"/>
      <c r="R73" s="2" t="s">
        <v>459</v>
      </c>
      <c r="S73" s="27" t="s">
        <v>460</v>
      </c>
      <c r="XEH73" s="0"/>
      <c r="XEI73" s="0"/>
    </row>
    <row r="74" s="2" customFormat="true" ht="69.75" hidden="false" customHeight="true" outlineLevel="0" collapsed="false">
      <c r="A74" s="24" t="s">
        <v>461</v>
      </c>
      <c r="B74" s="4" t="s">
        <v>462</v>
      </c>
      <c r="C74" s="25"/>
      <c r="D74" s="12"/>
      <c r="E74" s="10" t="n">
        <v>16150</v>
      </c>
      <c r="F74" s="10" t="n">
        <v>1025</v>
      </c>
      <c r="G74" s="13" t="n">
        <v>18.04</v>
      </c>
      <c r="H74" s="14" t="n">
        <f aca="false">VlrBack</f>
        <v>0.375692307692308</v>
      </c>
      <c r="I74" s="14" t="n">
        <f aca="false">VrlBack</f>
        <v>0.056</v>
      </c>
      <c r="J74" s="15" t="n">
        <v>193.2</v>
      </c>
      <c r="K74" s="15" t="n">
        <v>94.4</v>
      </c>
      <c r="L74" s="9" t="n">
        <v>0.046</v>
      </c>
      <c r="M74" s="9" t="n">
        <v>0.076</v>
      </c>
      <c r="N74" s="9" t="n">
        <v>0.12</v>
      </c>
      <c r="O74" s="2" t="s">
        <v>463</v>
      </c>
      <c r="P74" s="24" t="s">
        <v>464</v>
      </c>
      <c r="Q74" s="24"/>
      <c r="R74" s="2" t="s">
        <v>465</v>
      </c>
      <c r="S74" s="27" t="s">
        <v>466</v>
      </c>
      <c r="XEH74" s="0"/>
      <c r="XEI74" s="0"/>
    </row>
    <row r="75" s="2" customFormat="true" ht="35.25" hidden="false" customHeight="true" outlineLevel="0" collapsed="false">
      <c r="A75" s="24" t="s">
        <v>467</v>
      </c>
      <c r="B75" s="4" t="s">
        <v>468</v>
      </c>
      <c r="C75" s="25"/>
      <c r="D75" s="12"/>
      <c r="E75" s="10" t="n">
        <v>3570</v>
      </c>
      <c r="F75" s="10" t="n">
        <v>675</v>
      </c>
      <c r="G75" s="13" t="n">
        <v>12.02</v>
      </c>
      <c r="H75" s="14" t="n">
        <f aca="false">VlrBack</f>
        <v>0.375692307692308</v>
      </c>
      <c r="I75" s="14" t="n">
        <f aca="false">VrlBack</f>
        <v>0.056</v>
      </c>
      <c r="J75" s="15" t="n">
        <v>87.7</v>
      </c>
      <c r="K75" s="15" t="n">
        <v>48.8</v>
      </c>
      <c r="L75" s="9" t="n">
        <v>0.039</v>
      </c>
      <c r="M75" s="9" t="n">
        <v>0.078</v>
      </c>
      <c r="N75" s="9" t="n">
        <v>0.125</v>
      </c>
      <c r="O75" s="2" t="s">
        <v>469</v>
      </c>
      <c r="P75" s="24" t="s">
        <v>470</v>
      </c>
      <c r="Q75" s="24"/>
      <c r="R75" s="2" t="s">
        <v>471</v>
      </c>
      <c r="S75" s="27" t="s">
        <v>472</v>
      </c>
      <c r="XEH75" s="0"/>
      <c r="XEI75" s="0"/>
    </row>
    <row r="76" s="2" customFormat="true" ht="15.75" hidden="false" customHeight="true" outlineLevel="0" collapsed="false">
      <c r="A76" s="24" t="s">
        <v>473</v>
      </c>
      <c r="B76" s="4" t="s">
        <v>474</v>
      </c>
      <c r="C76" s="25"/>
      <c r="D76" s="12"/>
      <c r="E76" s="10" t="n">
        <v>14500</v>
      </c>
      <c r="F76" s="10" t="n">
        <v>1210</v>
      </c>
      <c r="G76" s="13"/>
      <c r="H76" s="14" t="n">
        <f aca="false">VlrBack</f>
        <v>0.375692307692308</v>
      </c>
      <c r="I76" s="14" t="n">
        <f aca="false">VrlBack</f>
        <v>0.056</v>
      </c>
      <c r="J76" s="15" t="n">
        <v>75</v>
      </c>
      <c r="K76" s="15"/>
      <c r="L76" s="9"/>
      <c r="M76" s="9"/>
      <c r="N76" s="9"/>
      <c r="O76" s="2" t="s">
        <v>475</v>
      </c>
      <c r="P76" s="24" t="s">
        <v>476</v>
      </c>
      <c r="Q76" s="24"/>
      <c r="R76" s="2" t="s">
        <v>477</v>
      </c>
      <c r="S76" s="27" t="s">
        <v>478</v>
      </c>
      <c r="XEH76" s="0"/>
      <c r="XEI76" s="0"/>
    </row>
    <row r="77" s="2" customFormat="true" ht="24" hidden="false" customHeight="true" outlineLevel="0" collapsed="false">
      <c r="A77" s="24" t="s">
        <v>479</v>
      </c>
      <c r="B77" s="4" t="s">
        <v>480</v>
      </c>
      <c r="C77" s="28" t="s">
        <v>62</v>
      </c>
      <c r="D77" s="12"/>
      <c r="E77" s="10" t="n">
        <v>2760</v>
      </c>
      <c r="F77" s="10" t="n">
        <v>510</v>
      </c>
      <c r="G77" s="13" t="n">
        <v>12.17</v>
      </c>
      <c r="H77" s="14" t="n">
        <v>0.292</v>
      </c>
      <c r="I77" s="14" t="n">
        <v>0.036</v>
      </c>
      <c r="J77" s="15" t="n">
        <v>86.2</v>
      </c>
      <c r="K77" s="15" t="n">
        <v>47.9</v>
      </c>
      <c r="L77" s="9" t="n">
        <v>0.045</v>
      </c>
      <c r="M77" s="9" t="n">
        <v>0.073</v>
      </c>
      <c r="N77" s="9" t="n">
        <v>0.116</v>
      </c>
      <c r="O77" s="2" t="s">
        <v>481</v>
      </c>
      <c r="P77" s="24" t="s">
        <v>482</v>
      </c>
      <c r="Q77" s="24"/>
      <c r="R77" s="2" t="s">
        <v>483</v>
      </c>
      <c r="S77" s="27" t="s">
        <v>484</v>
      </c>
      <c r="XEH77" s="0"/>
      <c r="XEI77" s="0"/>
    </row>
    <row r="78" s="2" customFormat="true" ht="46.5" hidden="false" customHeight="true" outlineLevel="0" collapsed="false">
      <c r="A78" s="24" t="s">
        <v>485</v>
      </c>
      <c r="B78" s="4" t="s">
        <v>486</v>
      </c>
      <c r="C78" s="28" t="s">
        <v>62</v>
      </c>
      <c r="D78" s="30"/>
      <c r="E78" s="10" t="n">
        <v>2700</v>
      </c>
      <c r="F78" s="10" t="n">
        <v>520</v>
      </c>
      <c r="G78" s="13" t="n">
        <v>9.3</v>
      </c>
      <c r="H78" s="14" t="n">
        <f aca="false">VlrBack</f>
        <v>0.375692307692308</v>
      </c>
      <c r="I78" s="14" t="n">
        <f aca="false">VrlBack</f>
        <v>0.056</v>
      </c>
      <c r="J78" s="15" t="n">
        <v>67</v>
      </c>
      <c r="K78" s="15" t="n">
        <v>43</v>
      </c>
      <c r="L78" s="9" t="n">
        <v>0.026</v>
      </c>
      <c r="M78" s="9" t="n">
        <v>0.053</v>
      </c>
      <c r="N78" s="9" t="n">
        <v>0.079</v>
      </c>
      <c r="O78" s="2" t="s">
        <v>487</v>
      </c>
      <c r="P78" s="24" t="s">
        <v>488</v>
      </c>
      <c r="Q78" s="24"/>
      <c r="R78" s="2" t="s">
        <v>489</v>
      </c>
      <c r="S78" s="27" t="s">
        <v>490</v>
      </c>
      <c r="XEH78" s="0"/>
      <c r="XEI78" s="0"/>
    </row>
    <row r="79" s="2" customFormat="true" ht="57.75" hidden="false" customHeight="true" outlineLevel="0" collapsed="false">
      <c r="A79" s="24" t="s">
        <v>491</v>
      </c>
      <c r="B79" s="4" t="s">
        <v>492</v>
      </c>
      <c r="C79" s="25"/>
      <c r="D79" s="26" t="n">
        <v>0</v>
      </c>
      <c r="E79" s="10" t="n">
        <v>10870</v>
      </c>
      <c r="F79" s="10" t="n">
        <v>830</v>
      </c>
      <c r="G79" s="13" t="n">
        <v>11.5</v>
      </c>
      <c r="H79" s="14" t="n">
        <f aca="false">VlrBack</f>
        <v>0.375692307692308</v>
      </c>
      <c r="I79" s="14" t="n">
        <f aca="false">VrlBack</f>
        <v>0.056</v>
      </c>
      <c r="J79" s="15" t="n">
        <v>114.4</v>
      </c>
      <c r="K79" s="15" t="n">
        <v>59.7</v>
      </c>
      <c r="L79" s="9" t="n">
        <v>0.027</v>
      </c>
      <c r="M79" s="9" t="n">
        <v>0.059</v>
      </c>
      <c r="N79" s="9" t="n">
        <v>0.085</v>
      </c>
      <c r="O79" s="2" t="s">
        <v>493</v>
      </c>
      <c r="P79" s="24" t="s">
        <v>494</v>
      </c>
      <c r="Q79" s="24"/>
      <c r="R79" s="2" t="s">
        <v>495</v>
      </c>
      <c r="S79" s="27" t="s">
        <v>496</v>
      </c>
      <c r="XEH79" s="0"/>
      <c r="XEI79" s="0"/>
    </row>
    <row r="80" s="2" customFormat="true" ht="46.5" hidden="false" customHeight="true" outlineLevel="0" collapsed="false">
      <c r="A80" s="24" t="s">
        <v>497</v>
      </c>
      <c r="B80" s="4" t="s">
        <v>498</v>
      </c>
      <c r="C80" s="25"/>
      <c r="D80" s="12"/>
      <c r="E80" s="10" t="n">
        <v>11650</v>
      </c>
      <c r="F80" s="10" t="n">
        <v>975</v>
      </c>
      <c r="G80" s="13" t="n">
        <v>14.56</v>
      </c>
      <c r="H80" s="14" t="n">
        <f aca="false">VlrBack</f>
        <v>0.375692307692308</v>
      </c>
      <c r="I80" s="14" t="n">
        <f aca="false">VrlBack</f>
        <v>0.056</v>
      </c>
      <c r="J80" s="15" t="n">
        <v>145.4</v>
      </c>
      <c r="K80" s="15" t="n">
        <v>71.8</v>
      </c>
      <c r="L80" s="9" t="n">
        <v>0.057</v>
      </c>
      <c r="M80" s="9" t="n">
        <v>0.081</v>
      </c>
      <c r="N80" s="9" t="n">
        <v>0.139</v>
      </c>
      <c r="O80" s="2" t="s">
        <v>499</v>
      </c>
      <c r="P80" s="24" t="s">
        <v>500</v>
      </c>
      <c r="Q80" s="24"/>
      <c r="R80" s="2" t="s">
        <v>501</v>
      </c>
      <c r="S80" s="27" t="s">
        <v>502</v>
      </c>
      <c r="XEH80" s="0"/>
      <c r="XEI80" s="0"/>
    </row>
    <row r="81" s="2" customFormat="true" ht="24" hidden="false" customHeight="true" outlineLevel="0" collapsed="false">
      <c r="A81" s="24" t="s">
        <v>503</v>
      </c>
      <c r="B81" s="4" t="s">
        <v>504</v>
      </c>
      <c r="C81" s="25"/>
      <c r="D81" s="12" t="n">
        <v>0.44</v>
      </c>
      <c r="E81" s="10" t="n">
        <v>1910</v>
      </c>
      <c r="F81" s="10" t="n">
        <v>450</v>
      </c>
      <c r="G81" s="13" t="n">
        <v>9.45</v>
      </c>
      <c r="H81" s="14" t="n">
        <v>0.344</v>
      </c>
      <c r="I81" s="14" t="n">
        <v>0.043</v>
      </c>
      <c r="J81" s="15" t="n">
        <v>58.6</v>
      </c>
      <c r="K81" s="15" t="n">
        <v>33.9</v>
      </c>
      <c r="L81" s="9" t="n">
        <v>0.039</v>
      </c>
      <c r="M81" s="9" t="n">
        <v>0.092</v>
      </c>
      <c r="N81" s="9" t="n">
        <v>0.139</v>
      </c>
      <c r="O81" s="2" t="s">
        <v>505</v>
      </c>
      <c r="P81" s="24" t="s">
        <v>506</v>
      </c>
      <c r="Q81" s="24"/>
      <c r="R81" s="2" t="s">
        <v>507</v>
      </c>
      <c r="S81" s="27" t="s">
        <v>508</v>
      </c>
      <c r="XEH81" s="0"/>
      <c r="XEI81" s="0"/>
    </row>
    <row r="82" s="2" customFormat="true" ht="35.25" hidden="false" customHeight="true" outlineLevel="0" collapsed="false">
      <c r="A82" s="24" t="s">
        <v>509</v>
      </c>
      <c r="B82" s="4" t="s">
        <v>510</v>
      </c>
      <c r="C82" s="28" t="s">
        <v>62</v>
      </c>
      <c r="D82" s="12"/>
      <c r="E82" s="10" t="n">
        <v>2220</v>
      </c>
      <c r="F82" s="10" t="n">
        <v>450</v>
      </c>
      <c r="G82" s="13" t="n">
        <v>8.28</v>
      </c>
      <c r="H82" s="14" t="n">
        <f aca="false">VlrTop</f>
        <v>0.385571428571429</v>
      </c>
      <c r="I82" s="14" t="n">
        <f aca="false">VrlTop</f>
        <v>0.048</v>
      </c>
      <c r="J82" s="15" t="n">
        <v>61.4</v>
      </c>
      <c r="K82" s="15" t="n">
        <v>37.3</v>
      </c>
      <c r="L82" s="9" t="n">
        <v>0.03</v>
      </c>
      <c r="M82" s="9" t="n">
        <v>0.068</v>
      </c>
      <c r="N82" s="9" t="n">
        <v>0.097</v>
      </c>
      <c r="O82" s="2" t="s">
        <v>511</v>
      </c>
      <c r="P82" s="24" t="s">
        <v>512</v>
      </c>
      <c r="Q82" s="24"/>
      <c r="R82" s="2" t="s">
        <v>513</v>
      </c>
      <c r="S82" s="27" t="s">
        <v>514</v>
      </c>
      <c r="XEH82" s="0"/>
      <c r="XEI82" s="0"/>
    </row>
    <row r="83" s="2" customFormat="true" ht="35.25" hidden="false" customHeight="true" outlineLevel="0" collapsed="false">
      <c r="A83" s="24" t="s">
        <v>515</v>
      </c>
      <c r="B83" s="4" t="s">
        <v>516</v>
      </c>
      <c r="C83" s="28" t="s">
        <v>62</v>
      </c>
      <c r="D83" s="26"/>
      <c r="E83" s="10" t="n">
        <v>4000</v>
      </c>
      <c r="F83" s="10" t="n">
        <v>530</v>
      </c>
      <c r="G83" s="13" t="n">
        <v>6.07</v>
      </c>
      <c r="H83" s="14" t="n">
        <f aca="false">VlrBack</f>
        <v>0.375692307692308</v>
      </c>
      <c r="I83" s="14" t="n">
        <f aca="false">VrlBack</f>
        <v>0.056</v>
      </c>
      <c r="J83" s="15" t="n">
        <v>60.7</v>
      </c>
      <c r="K83" s="15" t="n">
        <v>41.5</v>
      </c>
      <c r="L83" s="9" t="n">
        <v>0.031</v>
      </c>
      <c r="M83" s="29" t="n">
        <v>0.047</v>
      </c>
      <c r="N83" s="9" t="n">
        <v>0.078</v>
      </c>
      <c r="O83" s="2" t="s">
        <v>517</v>
      </c>
      <c r="P83" s="24" t="s">
        <v>518</v>
      </c>
      <c r="Q83" s="24"/>
      <c r="R83" s="2" t="s">
        <v>519</v>
      </c>
      <c r="S83" s="27" t="s">
        <v>520</v>
      </c>
      <c r="XEH83" s="0"/>
      <c r="XEI83" s="0"/>
    </row>
    <row r="84" s="2" customFormat="true" ht="15.75" hidden="false" customHeight="true" outlineLevel="0" collapsed="false">
      <c r="A84" s="24" t="s">
        <v>521</v>
      </c>
      <c r="B84" s="4" t="s">
        <v>522</v>
      </c>
      <c r="C84" s="28" t="s">
        <v>62</v>
      </c>
      <c r="D84" s="12"/>
      <c r="E84" s="10" t="n">
        <v>1690</v>
      </c>
      <c r="F84" s="10" t="n">
        <v>400</v>
      </c>
      <c r="G84" s="13" t="n">
        <v>8.55</v>
      </c>
      <c r="H84" s="14" t="n">
        <v>0.356</v>
      </c>
      <c r="I84" s="14" t="n">
        <v>0.046</v>
      </c>
      <c r="J84" s="15" t="n">
        <v>59.3</v>
      </c>
      <c r="K84" s="15" t="n">
        <v>33.1</v>
      </c>
      <c r="L84" s="9" t="n">
        <v>0.021</v>
      </c>
      <c r="M84" s="9" t="n">
        <v>0.061</v>
      </c>
      <c r="N84" s="9" t="n">
        <v>0.082</v>
      </c>
      <c r="O84" s="2" t="s">
        <v>523</v>
      </c>
      <c r="P84" s="24" t="s">
        <v>524</v>
      </c>
      <c r="Q84" s="24"/>
      <c r="R84" s="2" t="s">
        <v>525</v>
      </c>
      <c r="S84" s="27" t="s">
        <v>526</v>
      </c>
      <c r="XEH84" s="0"/>
      <c r="XEI84" s="0"/>
    </row>
    <row r="85" s="2" customFormat="true" ht="115.5" hidden="false" customHeight="true" outlineLevel="0" collapsed="false">
      <c r="A85" s="24" t="s">
        <v>527</v>
      </c>
      <c r="B85" s="4" t="s">
        <v>528</v>
      </c>
      <c r="C85" s="25"/>
      <c r="D85" s="12"/>
      <c r="E85" s="10" t="n">
        <v>5690</v>
      </c>
      <c r="F85" s="10" t="n">
        <v>725</v>
      </c>
      <c r="G85" s="13" t="n">
        <v>11.14</v>
      </c>
      <c r="H85" s="14" t="n">
        <f aca="false">VlrBack</f>
        <v>0.375692307692308</v>
      </c>
      <c r="I85" s="14" t="n">
        <f aca="false">VrlBack</f>
        <v>0.056</v>
      </c>
      <c r="J85" s="15" t="n">
        <v>109.6</v>
      </c>
      <c r="K85" s="15" t="n">
        <v>55.4</v>
      </c>
      <c r="L85" s="9" t="n">
        <v>0.047</v>
      </c>
      <c r="M85" s="9" t="n">
        <v>0.087</v>
      </c>
      <c r="N85" s="9" t="n">
        <v>0.132</v>
      </c>
      <c r="O85" s="2" t="s">
        <v>529</v>
      </c>
      <c r="P85" s="24" t="s">
        <v>530</v>
      </c>
      <c r="Q85" s="24"/>
      <c r="R85" s="2" t="s">
        <v>531</v>
      </c>
      <c r="S85" s="27" t="s">
        <v>532</v>
      </c>
      <c r="XEH85" s="0"/>
      <c r="XEI85" s="0"/>
    </row>
    <row r="86" s="2" customFormat="true" ht="24" hidden="false" customHeight="true" outlineLevel="0" collapsed="false">
      <c r="A86" s="24" t="s">
        <v>533</v>
      </c>
      <c r="B86" s="4" t="s">
        <v>534</v>
      </c>
      <c r="C86" s="31" t="s">
        <v>62</v>
      </c>
      <c r="D86" s="12"/>
      <c r="E86" s="10" t="n">
        <v>1740</v>
      </c>
      <c r="F86" s="10" t="n">
        <v>385</v>
      </c>
      <c r="G86" s="13" t="n">
        <v>9.44</v>
      </c>
      <c r="H86" s="14" t="n">
        <v>0.422</v>
      </c>
      <c r="I86" s="14" t="n">
        <v>0.083</v>
      </c>
      <c r="J86" s="15" t="n">
        <v>62.2</v>
      </c>
      <c r="K86" s="15" t="n">
        <v>31.5</v>
      </c>
      <c r="L86" s="9" t="n">
        <v>0.038</v>
      </c>
      <c r="M86" s="9" t="n">
        <v>0.071</v>
      </c>
      <c r="N86" s="9" t="n">
        <v>0.11</v>
      </c>
      <c r="O86" s="2" t="s">
        <v>535</v>
      </c>
      <c r="P86" s="24" t="s">
        <v>536</v>
      </c>
      <c r="Q86" s="24"/>
      <c r="R86" s="2" t="s">
        <v>537</v>
      </c>
      <c r="S86" s="27" t="s">
        <v>538</v>
      </c>
      <c r="XEH86" s="0"/>
      <c r="XEI86" s="0"/>
    </row>
    <row r="87" s="2" customFormat="true" ht="81" hidden="false" customHeight="true" outlineLevel="0" collapsed="false">
      <c r="A87" s="24" t="s">
        <v>539</v>
      </c>
      <c r="B87" s="4" t="s">
        <v>540</v>
      </c>
      <c r="C87" s="25"/>
      <c r="D87" s="12" t="n">
        <v>0</v>
      </c>
      <c r="E87" s="10" t="n">
        <v>5410</v>
      </c>
      <c r="F87" s="10" t="n">
        <v>640</v>
      </c>
      <c r="G87" s="13" t="n">
        <v>10.81</v>
      </c>
      <c r="H87" s="14" t="n">
        <v>0.495</v>
      </c>
      <c r="I87" s="14" t="n">
        <v>0.052</v>
      </c>
      <c r="J87" s="15" t="n">
        <v>111.5</v>
      </c>
      <c r="K87" s="15" t="n">
        <v>50.2</v>
      </c>
      <c r="L87" s="9" t="n">
        <v>0.055</v>
      </c>
      <c r="M87" s="9" t="n">
        <v>0.075</v>
      </c>
      <c r="N87" s="9" t="n">
        <v>0.13</v>
      </c>
      <c r="O87" s="2" t="s">
        <v>541</v>
      </c>
      <c r="P87" s="24" t="s">
        <v>542</v>
      </c>
      <c r="Q87" s="24"/>
      <c r="R87" s="2" t="s">
        <v>543</v>
      </c>
      <c r="S87" s="27" t="s">
        <v>544</v>
      </c>
      <c r="XEH87" s="0"/>
      <c r="XEI87" s="0"/>
    </row>
    <row r="88" s="2" customFormat="true" ht="69.75" hidden="false" customHeight="true" outlineLevel="0" collapsed="false">
      <c r="A88" s="24" t="s">
        <v>545</v>
      </c>
      <c r="B88" s="4" t="s">
        <v>546</v>
      </c>
      <c r="C88" s="25"/>
      <c r="D88" s="26"/>
      <c r="E88" s="10" t="n">
        <v>7380</v>
      </c>
      <c r="F88" s="10" t="n">
        <v>755</v>
      </c>
      <c r="G88" s="13" t="n">
        <v>13.75</v>
      </c>
      <c r="H88" s="14" t="n">
        <f aca="false">VlrBack</f>
        <v>0.375692307692308</v>
      </c>
      <c r="I88" s="14" t="n">
        <f aca="false">VrlBack</f>
        <v>0.056</v>
      </c>
      <c r="J88" s="15" t="n">
        <v>142.4</v>
      </c>
      <c r="K88" s="15" t="n">
        <v>69.1</v>
      </c>
      <c r="L88" s="9" t="n">
        <v>0.05</v>
      </c>
      <c r="M88" s="9" t="n">
        <v>0.082</v>
      </c>
      <c r="N88" s="9" t="n">
        <v>0.135</v>
      </c>
      <c r="O88" s="2" t="s">
        <v>547</v>
      </c>
      <c r="P88" s="24" t="s">
        <v>548</v>
      </c>
      <c r="Q88" s="24"/>
      <c r="R88" s="2" t="s">
        <v>549</v>
      </c>
      <c r="S88" s="27" t="s">
        <v>550</v>
      </c>
      <c r="XEH88" s="0"/>
      <c r="XEI88" s="0"/>
    </row>
    <row r="89" s="2" customFormat="true" ht="35.25" hidden="false" customHeight="true" outlineLevel="0" collapsed="false">
      <c r="A89" s="24" t="s">
        <v>551</v>
      </c>
      <c r="B89" s="4" t="s">
        <v>552</v>
      </c>
      <c r="C89" s="25"/>
      <c r="D89" s="12"/>
      <c r="E89" s="10" t="n">
        <v>2890</v>
      </c>
      <c r="F89" s="10" t="n">
        <v>535</v>
      </c>
      <c r="G89" s="13" t="n">
        <v>11.01</v>
      </c>
      <c r="H89" s="14" t="n">
        <f aca="false">VlrBack</f>
        <v>0.375692307692308</v>
      </c>
      <c r="I89" s="14" t="n">
        <f aca="false">VrlBack</f>
        <v>0.056</v>
      </c>
      <c r="J89" s="15" t="n">
        <v>91.4</v>
      </c>
      <c r="K89" s="15" t="n">
        <v>39.8</v>
      </c>
      <c r="L89" s="9" t="n">
        <v>0.036</v>
      </c>
      <c r="M89" s="9" t="n">
        <v>0.07</v>
      </c>
      <c r="N89" s="9" t="n">
        <v>0.11</v>
      </c>
      <c r="O89" s="2" t="s">
        <v>553</v>
      </c>
      <c r="P89" s="24" t="s">
        <v>554</v>
      </c>
      <c r="Q89" s="24"/>
      <c r="R89" s="2" t="s">
        <v>555</v>
      </c>
      <c r="S89" s="27" t="s">
        <v>556</v>
      </c>
      <c r="XEH89" s="0"/>
      <c r="XEI89" s="0"/>
    </row>
    <row r="90" s="2" customFormat="true" ht="35.25" hidden="false" customHeight="true" outlineLevel="0" collapsed="false">
      <c r="A90" s="24" t="s">
        <v>557</v>
      </c>
      <c r="B90" s="4" t="s">
        <v>558</v>
      </c>
      <c r="C90" s="25"/>
      <c r="D90" s="26" t="n">
        <v>0.67</v>
      </c>
      <c r="E90" s="10" t="n">
        <v>6580</v>
      </c>
      <c r="F90" s="10" t="n">
        <v>680</v>
      </c>
      <c r="G90" s="13" t="n">
        <v>12.31</v>
      </c>
      <c r="H90" s="14" t="n">
        <f aca="false">VlrBack</f>
        <v>0.375692307692308</v>
      </c>
      <c r="I90" s="14" t="n">
        <f aca="false">VrlBack</f>
        <v>0.056</v>
      </c>
      <c r="J90" s="15" t="n">
        <v>103.6</v>
      </c>
      <c r="K90" s="15" t="n">
        <v>51</v>
      </c>
      <c r="L90" s="9" t="n">
        <v>0.057</v>
      </c>
      <c r="M90" s="9" t="n">
        <v>0.096</v>
      </c>
      <c r="N90" s="9" t="n">
        <v>0.153</v>
      </c>
      <c r="O90" s="2" t="s">
        <v>559</v>
      </c>
      <c r="P90" s="24" t="s">
        <v>560</v>
      </c>
      <c r="Q90" s="24"/>
      <c r="R90" s="2" t="s">
        <v>561</v>
      </c>
      <c r="S90" s="27" t="s">
        <v>562</v>
      </c>
      <c r="XEH90" s="0"/>
      <c r="XEI90" s="0"/>
    </row>
    <row r="91" s="2" customFormat="true" ht="24" hidden="false" customHeight="true" outlineLevel="0" collapsed="false">
      <c r="A91" s="24" t="s">
        <v>563</v>
      </c>
      <c r="B91" s="4" t="s">
        <v>564</v>
      </c>
      <c r="C91" s="25"/>
      <c r="D91" s="26" t="n">
        <v>0.75</v>
      </c>
      <c r="E91" s="10" t="n">
        <v>6460</v>
      </c>
      <c r="F91" s="10" t="n">
        <v>710</v>
      </c>
      <c r="G91" s="13" t="n">
        <v>14.31</v>
      </c>
      <c r="H91" s="14" t="n">
        <f aca="false">VlrBack</f>
        <v>0.375692307692308</v>
      </c>
      <c r="I91" s="14" t="n">
        <f aca="false">VrlBack</f>
        <v>0.056</v>
      </c>
      <c r="J91" s="15" t="n">
        <v>110.1</v>
      </c>
      <c r="K91" s="15" t="n">
        <v>57</v>
      </c>
      <c r="L91" s="9" t="n">
        <v>0.058</v>
      </c>
      <c r="M91" s="9" t="n">
        <v>0.118</v>
      </c>
      <c r="N91" s="9" t="n">
        <v>0.172</v>
      </c>
      <c r="O91" s="2" t="s">
        <v>565</v>
      </c>
      <c r="P91" s="24" t="s">
        <v>566</v>
      </c>
      <c r="Q91" s="24"/>
      <c r="R91" s="2" t="s">
        <v>567</v>
      </c>
      <c r="S91" s="27" t="s">
        <v>568</v>
      </c>
      <c r="XEH91" s="0"/>
      <c r="XEI91" s="0"/>
    </row>
    <row r="92" s="2" customFormat="true" ht="35.25" hidden="false" customHeight="true" outlineLevel="0" collapsed="false">
      <c r="A92" s="24" t="s">
        <v>569</v>
      </c>
      <c r="B92" s="4" t="s">
        <v>570</v>
      </c>
      <c r="C92" s="25"/>
      <c r="D92" s="12"/>
      <c r="E92" s="10" t="n">
        <v>7260</v>
      </c>
      <c r="F92" s="10" t="n">
        <v>735</v>
      </c>
      <c r="G92" s="13" t="n">
        <v>12.1</v>
      </c>
      <c r="H92" s="14" t="n">
        <f aca="false">VlrBack</f>
        <v>0.375692307692308</v>
      </c>
      <c r="I92" s="14" t="n">
        <f aca="false">VrlBack</f>
        <v>0.056</v>
      </c>
      <c r="J92" s="15" t="n">
        <v>110.4</v>
      </c>
      <c r="K92" s="15" t="n">
        <v>50.5</v>
      </c>
      <c r="L92" s="9" t="n">
        <v>0.068</v>
      </c>
      <c r="M92" s="9" t="n">
        <v>0.115</v>
      </c>
      <c r="N92" s="9" t="n">
        <v>0.184</v>
      </c>
      <c r="O92" s="2" t="s">
        <v>571</v>
      </c>
      <c r="P92" s="24" t="s">
        <v>572</v>
      </c>
      <c r="Q92" s="24"/>
      <c r="R92" s="2" t="s">
        <v>573</v>
      </c>
      <c r="S92" s="27" t="s">
        <v>574</v>
      </c>
      <c r="XEH92" s="0"/>
      <c r="XEI92" s="0"/>
    </row>
    <row r="93" s="2" customFormat="true" ht="35.25" hidden="false" customHeight="true" outlineLevel="0" collapsed="false">
      <c r="A93" s="24" t="s">
        <v>575</v>
      </c>
      <c r="B93" s="4" t="s">
        <v>576</v>
      </c>
      <c r="C93" s="25"/>
      <c r="D93" s="26"/>
      <c r="E93" s="10" t="n">
        <v>3100</v>
      </c>
      <c r="F93" s="10" t="n">
        <v>535</v>
      </c>
      <c r="G93" s="13" t="n">
        <v>11.71</v>
      </c>
      <c r="H93" s="14" t="n">
        <f aca="false">VlrBack</f>
        <v>0.375692307692308</v>
      </c>
      <c r="I93" s="14" t="n">
        <f aca="false">VrlBack</f>
        <v>0.056</v>
      </c>
      <c r="J93" s="15" t="n">
        <v>85.4</v>
      </c>
      <c r="K93" s="15" t="n">
        <v>44.8</v>
      </c>
      <c r="L93" s="9" t="n">
        <v>0.05</v>
      </c>
      <c r="M93" s="29" t="n">
        <v>0.075</v>
      </c>
      <c r="N93" s="9" t="n">
        <v>0.12</v>
      </c>
      <c r="O93" s="2" t="s">
        <v>577</v>
      </c>
      <c r="P93" s="24" t="s">
        <v>578</v>
      </c>
      <c r="Q93" s="24"/>
      <c r="R93" s="2" t="s">
        <v>579</v>
      </c>
      <c r="S93" s="27" t="s">
        <v>580</v>
      </c>
      <c r="XEH93" s="0"/>
      <c r="XEI93" s="0"/>
    </row>
    <row r="94" s="2" customFormat="true" ht="15.75" hidden="false" customHeight="true" outlineLevel="0" collapsed="false">
      <c r="A94" s="24" t="s">
        <v>581</v>
      </c>
      <c r="B94" s="4" t="s">
        <v>582</v>
      </c>
      <c r="C94" s="28" t="s">
        <v>62</v>
      </c>
      <c r="D94" s="12"/>
      <c r="E94" s="10" t="n">
        <v>1420</v>
      </c>
      <c r="F94" s="10" t="n">
        <v>415</v>
      </c>
      <c r="G94" s="13" t="n">
        <v>8.28</v>
      </c>
      <c r="H94" s="14" t="n">
        <f aca="false">VlrTop</f>
        <v>0.385571428571429</v>
      </c>
      <c r="I94" s="14" t="n">
        <f aca="false">VrlTop</f>
        <v>0.048</v>
      </c>
      <c r="J94" s="15" t="n">
        <v>66.1</v>
      </c>
      <c r="K94" s="15" t="n">
        <v>41</v>
      </c>
      <c r="L94" s="9" t="n">
        <v>0.04</v>
      </c>
      <c r="M94" s="9" t="n">
        <v>0.087</v>
      </c>
      <c r="N94" s="9" t="n">
        <v>0.128</v>
      </c>
      <c r="O94" s="2" t="s">
        <v>583</v>
      </c>
      <c r="P94" s="24" t="s">
        <v>584</v>
      </c>
      <c r="Q94" s="24"/>
      <c r="R94" s="2" t="s">
        <v>585</v>
      </c>
      <c r="S94" s="27" t="s">
        <v>586</v>
      </c>
      <c r="XEH94" s="0"/>
      <c r="XEI94" s="0"/>
    </row>
    <row r="95" s="2" customFormat="true" ht="35.25" hidden="false" customHeight="true" outlineLevel="0" collapsed="false">
      <c r="A95" s="24" t="s">
        <v>587</v>
      </c>
      <c r="B95" s="4" t="s">
        <v>588</v>
      </c>
      <c r="C95" s="28" t="s">
        <v>62</v>
      </c>
      <c r="D95" s="26"/>
      <c r="E95" s="10" t="n">
        <v>6760</v>
      </c>
      <c r="F95" s="10" t="n">
        <v>675</v>
      </c>
      <c r="G95" s="13" t="n">
        <v>10.15</v>
      </c>
      <c r="H95" s="14" t="n">
        <f aca="false">VlrBack</f>
        <v>0.375692307692308</v>
      </c>
      <c r="I95" s="14" t="n">
        <f aca="false">VrlBack</f>
        <v>0.056</v>
      </c>
      <c r="J95" s="15" t="n">
        <v>96.8</v>
      </c>
      <c r="K95" s="15" t="n">
        <v>58</v>
      </c>
      <c r="L95" s="9" t="n">
        <v>0.034</v>
      </c>
      <c r="M95" s="9" t="n">
        <v>0.053</v>
      </c>
      <c r="N95" s="9" t="n">
        <v>0.083</v>
      </c>
      <c r="O95" s="2" t="s">
        <v>589</v>
      </c>
      <c r="P95" s="24" t="s">
        <v>590</v>
      </c>
      <c r="Q95" s="24"/>
      <c r="R95" s="2" t="s">
        <v>591</v>
      </c>
      <c r="S95" s="27" t="s">
        <v>592</v>
      </c>
      <c r="XEH95" s="0"/>
      <c r="XEI95" s="0"/>
    </row>
    <row r="96" s="2" customFormat="true" ht="24" hidden="false" customHeight="true" outlineLevel="0" collapsed="false">
      <c r="A96" s="24" t="s">
        <v>593</v>
      </c>
      <c r="B96" s="4" t="s">
        <v>594</v>
      </c>
      <c r="C96" s="25"/>
      <c r="D96" s="26" t="n">
        <v>0.59</v>
      </c>
      <c r="E96" s="10" t="n">
        <v>5110</v>
      </c>
      <c r="F96" s="10" t="n">
        <v>690</v>
      </c>
      <c r="G96" s="13" t="n">
        <v>11.8</v>
      </c>
      <c r="H96" s="14" t="n">
        <f aca="false">VlrBack</f>
        <v>0.375692307692308</v>
      </c>
      <c r="I96" s="14" t="n">
        <f aca="false">VrlBack</f>
        <v>0.056</v>
      </c>
      <c r="J96" s="15" t="n">
        <v>123</v>
      </c>
      <c r="K96" s="15"/>
      <c r="L96" s="9" t="n">
        <v>0.045</v>
      </c>
      <c r="M96" s="9" t="n">
        <v>0.078</v>
      </c>
      <c r="N96" s="9" t="n">
        <v>0.123</v>
      </c>
      <c r="O96" s="2" t="s">
        <v>595</v>
      </c>
      <c r="P96" s="24" t="s">
        <v>596</v>
      </c>
      <c r="Q96" s="24"/>
      <c r="R96" s="2" t="s">
        <v>597</v>
      </c>
      <c r="S96" s="27" t="s">
        <v>598</v>
      </c>
      <c r="XEH96" s="0"/>
      <c r="XEI96" s="0"/>
    </row>
    <row r="97" s="2" customFormat="true" ht="24" hidden="false" customHeight="true" outlineLevel="0" collapsed="false">
      <c r="A97" s="24" t="s">
        <v>599</v>
      </c>
      <c r="B97" s="4" t="s">
        <v>600</v>
      </c>
      <c r="C97" s="25"/>
      <c r="D97" s="26" t="n">
        <v>0</v>
      </c>
      <c r="E97" s="10" t="n">
        <v>3420</v>
      </c>
      <c r="F97" s="10" t="n">
        <v>580</v>
      </c>
      <c r="G97" s="13" t="n">
        <v>13.13</v>
      </c>
      <c r="H97" s="14" t="n">
        <f aca="false">VlrBack</f>
        <v>0.375692307692308</v>
      </c>
      <c r="I97" s="14" t="n">
        <f aca="false">VrlBack</f>
        <v>0.056</v>
      </c>
      <c r="J97" s="15" t="n">
        <v>88</v>
      </c>
      <c r="K97" s="15" t="n">
        <v>49.7</v>
      </c>
      <c r="L97" s="9" t="n">
        <v>0.039</v>
      </c>
      <c r="M97" s="9" t="n">
        <v>0.067</v>
      </c>
      <c r="N97" s="9" t="n">
        <v>0.1</v>
      </c>
      <c r="O97" s="2" t="s">
        <v>601</v>
      </c>
      <c r="P97" s="24" t="s">
        <v>602</v>
      </c>
      <c r="Q97" s="24"/>
      <c r="R97" s="2" t="s">
        <v>603</v>
      </c>
      <c r="S97" s="27" t="s">
        <v>292</v>
      </c>
      <c r="XEH97" s="0"/>
      <c r="XEI97" s="0"/>
    </row>
    <row r="98" s="2" customFormat="true" ht="69.75" hidden="false" customHeight="true" outlineLevel="0" collapsed="false">
      <c r="A98" s="24" t="s">
        <v>604</v>
      </c>
      <c r="B98" s="4" t="s">
        <v>605</v>
      </c>
      <c r="C98" s="25"/>
      <c r="D98" s="12" t="n">
        <v>0</v>
      </c>
      <c r="E98" s="10" t="n">
        <v>13700</v>
      </c>
      <c r="F98" s="10" t="n">
        <v>955</v>
      </c>
      <c r="G98" s="13" t="n">
        <v>16.89</v>
      </c>
      <c r="H98" s="14" t="n">
        <f aca="false">VlrBack</f>
        <v>0.375692307692308</v>
      </c>
      <c r="I98" s="14" t="n">
        <f aca="false">VrlBack</f>
        <v>0.056</v>
      </c>
      <c r="J98" s="15" t="n">
        <v>158.1</v>
      </c>
      <c r="K98" s="15" t="n">
        <v>76.3</v>
      </c>
      <c r="L98" s="9" t="n">
        <v>0.083</v>
      </c>
      <c r="M98" s="9" t="n">
        <v>0.112</v>
      </c>
      <c r="N98" s="9" t="n">
        <v>0.196</v>
      </c>
      <c r="O98" s="2" t="s">
        <v>606</v>
      </c>
      <c r="P98" s="24" t="s">
        <v>607</v>
      </c>
      <c r="Q98" s="24"/>
      <c r="R98" s="2" t="s">
        <v>608</v>
      </c>
      <c r="S98" s="32" t="s">
        <v>609</v>
      </c>
      <c r="XEH98" s="0"/>
      <c r="XEI98" s="0"/>
    </row>
    <row r="99" s="2" customFormat="true" ht="57.75" hidden="false" customHeight="true" outlineLevel="0" collapsed="false">
      <c r="A99" s="24" t="s">
        <v>610</v>
      </c>
      <c r="B99" s="4" t="s">
        <v>611</v>
      </c>
      <c r="C99" s="28" t="s">
        <v>62</v>
      </c>
      <c r="D99" s="12"/>
      <c r="E99" s="10" t="n">
        <v>2090</v>
      </c>
      <c r="F99" s="10" t="n">
        <v>380</v>
      </c>
      <c r="G99" s="13" t="n">
        <v>8.9</v>
      </c>
      <c r="H99" s="14" t="n">
        <v>0.36</v>
      </c>
      <c r="I99" s="14" t="n">
        <v>0.046</v>
      </c>
      <c r="J99" s="15" t="n">
        <v>64.4</v>
      </c>
      <c r="K99" s="15" t="n">
        <v>37.3</v>
      </c>
      <c r="L99" s="9" t="n">
        <v>0.018</v>
      </c>
      <c r="M99" s="9" t="n">
        <v>0.04</v>
      </c>
      <c r="N99" s="9" t="n">
        <v>0.063</v>
      </c>
      <c r="O99" s="2" t="s">
        <v>612</v>
      </c>
      <c r="P99" s="24" t="s">
        <v>613</v>
      </c>
      <c r="Q99" s="24"/>
      <c r="R99" s="2" t="s">
        <v>614</v>
      </c>
      <c r="S99" s="27" t="s">
        <v>615</v>
      </c>
      <c r="XEH99" s="0"/>
      <c r="XEI99" s="0"/>
    </row>
    <row r="100" s="2" customFormat="true" ht="35.25" hidden="false" customHeight="true" outlineLevel="0" collapsed="false">
      <c r="A100" s="24" t="s">
        <v>616</v>
      </c>
      <c r="B100" s="4" t="s">
        <v>617</v>
      </c>
      <c r="C100" s="25"/>
      <c r="D100" s="12"/>
      <c r="E100" s="10" t="n">
        <v>18990</v>
      </c>
      <c r="F100" s="10" t="n">
        <v>1150</v>
      </c>
      <c r="G100" s="13" t="n">
        <v>18.5</v>
      </c>
      <c r="H100" s="14" t="n">
        <f aca="false">VlrBack</f>
        <v>0.375692307692308</v>
      </c>
      <c r="I100" s="14" t="n">
        <f aca="false">VrlBack</f>
        <v>0.056</v>
      </c>
      <c r="J100" s="15" t="n">
        <v>130</v>
      </c>
      <c r="K100" s="15" t="n">
        <v>70</v>
      </c>
      <c r="L100" s="9" t="n">
        <v>0.04</v>
      </c>
      <c r="M100" s="9" t="n">
        <v>0.051</v>
      </c>
      <c r="N100" s="9" t="n">
        <v>0.092</v>
      </c>
      <c r="O100" s="2" t="s">
        <v>618</v>
      </c>
      <c r="P100" s="24" t="s">
        <v>619</v>
      </c>
      <c r="Q100" s="24"/>
      <c r="R100" s="2" t="s">
        <v>620</v>
      </c>
      <c r="S100" s="27" t="s">
        <v>621</v>
      </c>
      <c r="XEH100" s="0"/>
      <c r="XEI100" s="0"/>
    </row>
    <row r="101" s="2" customFormat="true" ht="81" hidden="false" customHeight="true" outlineLevel="0" collapsed="false">
      <c r="A101" s="24" t="s">
        <v>622</v>
      </c>
      <c r="B101" s="4" t="s">
        <v>623</v>
      </c>
      <c r="C101" s="25"/>
      <c r="D101" s="12"/>
      <c r="E101" s="10" t="n">
        <v>9640</v>
      </c>
      <c r="F101" s="10" t="n">
        <v>905</v>
      </c>
      <c r="G101" s="13" t="n">
        <v>16.56</v>
      </c>
      <c r="H101" s="14" t="n">
        <f aca="false">VlrBack</f>
        <v>0.375692307692308</v>
      </c>
      <c r="I101" s="14" t="n">
        <f aca="false">VrlBack</f>
        <v>0.056</v>
      </c>
      <c r="J101" s="15" t="n">
        <v>117</v>
      </c>
      <c r="K101" s="15" t="n">
        <v>74.2</v>
      </c>
      <c r="L101" s="9" t="n">
        <v>0.042</v>
      </c>
      <c r="M101" s="9" t="n">
        <v>0.078</v>
      </c>
      <c r="N101" s="9" t="n">
        <v>0.112</v>
      </c>
      <c r="O101" s="2" t="s">
        <v>624</v>
      </c>
      <c r="P101" s="24" t="s">
        <v>625</v>
      </c>
      <c r="Q101" s="24"/>
      <c r="R101" s="2" t="s">
        <v>626</v>
      </c>
      <c r="S101" s="27" t="s">
        <v>627</v>
      </c>
      <c r="XEH101" s="0"/>
      <c r="XEI101" s="0"/>
    </row>
    <row r="102" s="2" customFormat="true" ht="24" hidden="false" customHeight="true" outlineLevel="0" collapsed="false">
      <c r="A102" s="24" t="s">
        <v>628</v>
      </c>
      <c r="B102" s="4" t="s">
        <v>629</v>
      </c>
      <c r="C102" s="28" t="s">
        <v>62</v>
      </c>
      <c r="D102" s="12"/>
      <c r="E102" s="10" t="n">
        <v>2520</v>
      </c>
      <c r="F102" s="10" t="n">
        <v>480</v>
      </c>
      <c r="G102" s="13" t="n">
        <v>4.5</v>
      </c>
      <c r="H102" s="14" t="n">
        <f aca="false">VlrTop</f>
        <v>0.385571428571429</v>
      </c>
      <c r="I102" s="14" t="n">
        <f aca="false">VrlTop</f>
        <v>0.048</v>
      </c>
      <c r="J102" s="15" t="n">
        <v>56.9</v>
      </c>
      <c r="K102" s="15" t="n">
        <v>25.4</v>
      </c>
      <c r="L102" s="9"/>
      <c r="M102" s="9"/>
      <c r="N102" s="9"/>
      <c r="O102" s="2" t="s">
        <v>630</v>
      </c>
      <c r="P102" s="24" t="s">
        <v>631</v>
      </c>
      <c r="Q102" s="24"/>
      <c r="R102" s="2" t="s">
        <v>632</v>
      </c>
      <c r="S102" s="27" t="s">
        <v>633</v>
      </c>
      <c r="XEH102" s="0"/>
      <c r="XEI102" s="0"/>
    </row>
    <row r="103" s="2" customFormat="true" ht="15.75" hidden="false" customHeight="true" outlineLevel="0" collapsed="false">
      <c r="A103" s="24" t="s">
        <v>634</v>
      </c>
      <c r="B103" s="4" t="s">
        <v>635</v>
      </c>
      <c r="C103" s="28" t="s">
        <v>62</v>
      </c>
      <c r="D103" s="12"/>
      <c r="E103" s="10" t="n">
        <v>2180</v>
      </c>
      <c r="F103" s="10" t="n">
        <v>450</v>
      </c>
      <c r="G103" s="13" t="n">
        <v>10.55</v>
      </c>
      <c r="H103" s="14" t="n">
        <f aca="false">VlrTop</f>
        <v>0.385571428571429</v>
      </c>
      <c r="I103" s="14" t="n">
        <f aca="false">VrlTop</f>
        <v>0.048</v>
      </c>
      <c r="J103" s="15" t="n">
        <v>60.3</v>
      </c>
      <c r="K103" s="15" t="n">
        <v>35.9</v>
      </c>
      <c r="L103" s="9" t="n">
        <v>0.034</v>
      </c>
      <c r="M103" s="9" t="n">
        <v>0.075</v>
      </c>
      <c r="N103" s="9" t="n">
        <v>0.11</v>
      </c>
      <c r="O103" s="2" t="s">
        <v>636</v>
      </c>
      <c r="P103" s="24" t="s">
        <v>637</v>
      </c>
      <c r="Q103" s="24"/>
      <c r="R103" s="2" t="s">
        <v>638</v>
      </c>
      <c r="S103" s="27" t="s">
        <v>639</v>
      </c>
      <c r="XEH103" s="0"/>
      <c r="XEI103" s="0"/>
    </row>
    <row r="104" s="2" customFormat="true" ht="24" hidden="false" customHeight="true" outlineLevel="0" collapsed="false">
      <c r="A104" s="24" t="s">
        <v>640</v>
      </c>
      <c r="B104" s="4" t="s">
        <v>641</v>
      </c>
      <c r="C104" s="25"/>
      <c r="D104" s="26" t="n">
        <v>0.67</v>
      </c>
      <c r="E104" s="10" t="n">
        <v>5340</v>
      </c>
      <c r="F104" s="10" t="n">
        <v>640</v>
      </c>
      <c r="G104" s="13" t="n">
        <v>11.4</v>
      </c>
      <c r="H104" s="14" t="n">
        <f aca="false">VlrBack</f>
        <v>0.375692307692308</v>
      </c>
      <c r="I104" s="14" t="n">
        <f aca="false">VrlBack</f>
        <v>0.056</v>
      </c>
      <c r="J104" s="15" t="n">
        <v>97.2</v>
      </c>
      <c r="K104" s="15" t="n">
        <v>48.8</v>
      </c>
      <c r="L104" s="9" t="n">
        <v>0.046</v>
      </c>
      <c r="M104" s="9" t="n">
        <v>0.071</v>
      </c>
      <c r="N104" s="9" t="n">
        <v>0.125</v>
      </c>
      <c r="O104" s="2" t="s">
        <v>642</v>
      </c>
      <c r="P104" s="24" t="s">
        <v>643</v>
      </c>
      <c r="Q104" s="24"/>
      <c r="R104" s="2" t="s">
        <v>644</v>
      </c>
      <c r="S104" s="27" t="s">
        <v>645</v>
      </c>
      <c r="XEH104" s="0"/>
      <c r="XEI104" s="0"/>
    </row>
    <row r="105" s="2" customFormat="true" ht="24" hidden="false" customHeight="true" outlineLevel="0" collapsed="false">
      <c r="A105" s="24" t="s">
        <v>646</v>
      </c>
      <c r="B105" s="4" t="s">
        <v>647</v>
      </c>
      <c r="C105" s="33"/>
      <c r="D105" s="30" t="n">
        <v>0</v>
      </c>
      <c r="E105" s="10" t="n">
        <v>11260</v>
      </c>
      <c r="F105" s="10" t="n">
        <v>1010</v>
      </c>
      <c r="G105" s="13" t="n">
        <v>24.64</v>
      </c>
      <c r="H105" s="14" t="n">
        <f aca="false">VlrBack</f>
        <v>0.375692307692308</v>
      </c>
      <c r="I105" s="14" t="n">
        <f aca="false">VrlBack</f>
        <v>0.056</v>
      </c>
      <c r="J105" s="34" t="n">
        <v>185.5</v>
      </c>
      <c r="K105" s="34" t="n">
        <v>91.7</v>
      </c>
      <c r="L105" s="9" t="n">
        <v>0.082</v>
      </c>
      <c r="M105" s="9" t="n">
        <v>0.089</v>
      </c>
      <c r="N105" s="9" t="n">
        <v>0.165</v>
      </c>
      <c r="O105" s="2" t="s">
        <v>648</v>
      </c>
      <c r="P105" s="24" t="s">
        <v>649</v>
      </c>
      <c r="Q105" s="24"/>
      <c r="R105" s="2" t="s">
        <v>650</v>
      </c>
      <c r="S105" s="27" t="s">
        <v>651</v>
      </c>
      <c r="XEH105" s="0"/>
      <c r="XEI105" s="0"/>
    </row>
    <row r="106" s="2" customFormat="true" ht="46.5" hidden="false" customHeight="true" outlineLevel="0" collapsed="false">
      <c r="A106" s="24" t="s">
        <v>652</v>
      </c>
      <c r="B106" s="4" t="s">
        <v>653</v>
      </c>
      <c r="C106" s="25"/>
      <c r="D106" s="35" t="n">
        <v>0.94</v>
      </c>
      <c r="E106" s="10" t="n">
        <v>3910</v>
      </c>
      <c r="F106" s="10" t="n">
        <v>595</v>
      </c>
      <c r="G106" s="13" t="n">
        <v>8.21</v>
      </c>
      <c r="H106" s="14" t="n">
        <f aca="false">VlrBack</f>
        <v>0.375692307692308</v>
      </c>
      <c r="I106" s="14" t="n">
        <f aca="false">VrlBack</f>
        <v>0.056</v>
      </c>
      <c r="J106" s="15" t="n">
        <v>75.9</v>
      </c>
      <c r="K106" s="15" t="n">
        <v>37.5</v>
      </c>
      <c r="L106" s="9" t="n">
        <v>0.048</v>
      </c>
      <c r="M106" s="9" t="n">
        <v>0.089</v>
      </c>
      <c r="N106" s="9" t="n">
        <v>0.138</v>
      </c>
      <c r="O106" s="2" t="s">
        <v>654</v>
      </c>
      <c r="P106" s="24" t="s">
        <v>655</v>
      </c>
      <c r="Q106" s="24"/>
      <c r="R106" s="2" t="s">
        <v>656</v>
      </c>
      <c r="S106" s="27" t="s">
        <v>657</v>
      </c>
      <c r="XEH106" s="0"/>
      <c r="XEI106" s="0"/>
    </row>
    <row r="107" s="2" customFormat="true" ht="35.25" hidden="false" customHeight="true" outlineLevel="0" collapsed="false">
      <c r="A107" s="24" t="s">
        <v>658</v>
      </c>
      <c r="B107" s="4" t="s">
        <v>659</v>
      </c>
      <c r="C107" s="25"/>
      <c r="D107" s="26" t="n">
        <v>0.57</v>
      </c>
      <c r="E107" s="10" t="n">
        <v>6450</v>
      </c>
      <c r="F107" s="10" t="n">
        <v>705</v>
      </c>
      <c r="G107" s="13" t="n">
        <v>12.62</v>
      </c>
      <c r="H107" s="14" t="n">
        <v>0.424</v>
      </c>
      <c r="I107" s="14" t="n">
        <v>0.065</v>
      </c>
      <c r="J107" s="15" t="n">
        <v>109</v>
      </c>
      <c r="K107" s="15" t="n">
        <v>54</v>
      </c>
      <c r="L107" s="9" t="n">
        <v>0.048</v>
      </c>
      <c r="M107" s="9" t="n">
        <v>0.099</v>
      </c>
      <c r="N107" s="9" t="n">
        <v>0.147</v>
      </c>
      <c r="O107" s="2" t="s">
        <v>660</v>
      </c>
      <c r="P107" s="24" t="s">
        <v>661</v>
      </c>
      <c r="Q107" s="24"/>
      <c r="R107" s="2" t="s">
        <v>662</v>
      </c>
      <c r="S107" s="27" t="s">
        <v>663</v>
      </c>
      <c r="XEH107" s="0"/>
      <c r="XEI107" s="0"/>
    </row>
    <row r="108" s="2" customFormat="true" ht="24" hidden="false" customHeight="true" outlineLevel="0" collapsed="false">
      <c r="A108" s="24" t="s">
        <v>664</v>
      </c>
      <c r="B108" s="4" t="s">
        <v>665</v>
      </c>
      <c r="C108" s="25"/>
      <c r="D108" s="12"/>
      <c r="E108" s="10" t="n">
        <v>4540</v>
      </c>
      <c r="F108" s="10" t="n">
        <v>640</v>
      </c>
      <c r="G108" s="13" t="n">
        <v>7.66</v>
      </c>
      <c r="H108" s="14" t="n">
        <f aca="false">VlrBack</f>
        <v>0.375692307692308</v>
      </c>
      <c r="I108" s="14" t="n">
        <f aca="false">VrlBack</f>
        <v>0.056</v>
      </c>
      <c r="J108" s="15" t="n">
        <v>71</v>
      </c>
      <c r="K108" s="15" t="n">
        <v>38.2</v>
      </c>
      <c r="L108" s="9" t="n">
        <v>0.048</v>
      </c>
      <c r="M108" s="9" t="n">
        <v>0.099</v>
      </c>
      <c r="N108" s="9" t="n">
        <v>0.169</v>
      </c>
      <c r="O108" s="2" t="s">
        <v>666</v>
      </c>
      <c r="P108" s="24" t="s">
        <v>667</v>
      </c>
      <c r="Q108" s="24"/>
      <c r="R108" s="2" t="s">
        <v>668</v>
      </c>
      <c r="S108" s="27" t="s">
        <v>669</v>
      </c>
      <c r="XEH108" s="0"/>
      <c r="XEI108" s="0"/>
    </row>
    <row r="109" s="2" customFormat="true" ht="103.5" hidden="false" customHeight="true" outlineLevel="0" collapsed="false">
      <c r="A109" s="24" t="s">
        <v>670</v>
      </c>
      <c r="B109" s="4" t="s">
        <v>671</v>
      </c>
      <c r="C109" s="25"/>
      <c r="D109" s="26" t="n">
        <v>0</v>
      </c>
      <c r="E109" s="10" t="n">
        <v>4020</v>
      </c>
      <c r="F109" s="10" t="n">
        <v>590</v>
      </c>
      <c r="G109" s="13" t="n">
        <v>10.06</v>
      </c>
      <c r="H109" s="14" t="n">
        <v>0.314</v>
      </c>
      <c r="I109" s="14" t="n">
        <v>0.033</v>
      </c>
      <c r="J109" s="15" t="n">
        <v>80.8</v>
      </c>
      <c r="K109" s="15" t="n">
        <v>46.6</v>
      </c>
      <c r="L109" s="9" t="n">
        <v>0.029</v>
      </c>
      <c r="M109" s="9" t="n">
        <v>0.043</v>
      </c>
      <c r="N109" s="9" t="n">
        <v>0.075</v>
      </c>
      <c r="O109" s="2" t="s">
        <v>672</v>
      </c>
      <c r="P109" s="24" t="s">
        <v>673</v>
      </c>
      <c r="Q109" s="24"/>
      <c r="R109" s="2" t="s">
        <v>674</v>
      </c>
      <c r="S109" s="27" t="s">
        <v>675</v>
      </c>
      <c r="XEH109" s="0"/>
      <c r="XEI109" s="0"/>
    </row>
    <row r="110" s="2" customFormat="true" ht="46.5" hidden="false" customHeight="true" outlineLevel="0" collapsed="false">
      <c r="A110" s="24" t="s">
        <v>676</v>
      </c>
      <c r="B110" s="4" t="s">
        <v>677</v>
      </c>
      <c r="C110" s="25"/>
      <c r="D110" s="26" t="n">
        <v>0</v>
      </c>
      <c r="E110" s="10" t="n">
        <v>9790</v>
      </c>
      <c r="F110" s="10" t="n">
        <v>1025</v>
      </c>
      <c r="G110" s="13" t="n">
        <v>22</v>
      </c>
      <c r="H110" s="14" t="n">
        <f aca="false">VlrBack</f>
        <v>0.375692307692308</v>
      </c>
      <c r="I110" s="14" t="n">
        <f aca="false">VrlBack</f>
        <v>0.056</v>
      </c>
      <c r="J110" s="15"/>
      <c r="K110" s="15"/>
      <c r="L110" s="9" t="n">
        <v>0.027</v>
      </c>
      <c r="M110" s="9" t="n">
        <v>0.043</v>
      </c>
      <c r="N110" s="9" t="n">
        <v>0.07</v>
      </c>
      <c r="O110" s="2" t="s">
        <v>678</v>
      </c>
      <c r="P110" s="24" t="s">
        <v>679</v>
      </c>
      <c r="Q110" s="24"/>
      <c r="R110" s="2" t="s">
        <v>680</v>
      </c>
      <c r="S110" s="27" t="s">
        <v>681</v>
      </c>
      <c r="XEH110" s="0"/>
      <c r="XEI110" s="0"/>
    </row>
    <row r="111" s="2" customFormat="true" ht="24" hidden="false" customHeight="true" outlineLevel="0" collapsed="false">
      <c r="A111" s="24" t="s">
        <v>682</v>
      </c>
      <c r="B111" s="4" t="s">
        <v>683</v>
      </c>
      <c r="C111" s="25"/>
      <c r="D111" s="12"/>
      <c r="E111" s="10" t="n">
        <v>10410</v>
      </c>
      <c r="F111" s="10" t="n">
        <v>820</v>
      </c>
      <c r="G111" s="13"/>
      <c r="H111" s="14" t="n">
        <f aca="false">VlrBack</f>
        <v>0.375692307692308</v>
      </c>
      <c r="I111" s="14" t="n">
        <f aca="false">VrlBack</f>
        <v>0.056</v>
      </c>
      <c r="J111" s="15"/>
      <c r="K111" s="15"/>
      <c r="L111" s="9" t="n">
        <v>0.016</v>
      </c>
      <c r="M111" s="9" t="n">
        <v>0.032</v>
      </c>
      <c r="N111" s="9" t="n">
        <v>0.048</v>
      </c>
      <c r="O111" s="2" t="s">
        <v>684</v>
      </c>
      <c r="P111" s="24" t="s">
        <v>685</v>
      </c>
      <c r="Q111" s="24"/>
      <c r="R111" s="2" t="s">
        <v>686</v>
      </c>
      <c r="S111" s="27" t="s">
        <v>687</v>
      </c>
      <c r="XEH111" s="0"/>
      <c r="XEI111" s="0"/>
    </row>
    <row r="112" s="2" customFormat="true" ht="57.75" hidden="false" customHeight="true" outlineLevel="0" collapsed="false">
      <c r="A112" s="24" t="s">
        <v>688</v>
      </c>
      <c r="B112" s="4" t="s">
        <v>689</v>
      </c>
      <c r="C112" s="25"/>
      <c r="D112" s="26"/>
      <c r="E112" s="10" t="n">
        <v>4300</v>
      </c>
      <c r="F112" s="10" t="n">
        <v>660</v>
      </c>
      <c r="G112" s="13" t="n">
        <v>9.61</v>
      </c>
      <c r="H112" s="14" t="n">
        <f aca="false">VlrBack</f>
        <v>0.375692307692308</v>
      </c>
      <c r="I112" s="14" t="n">
        <f aca="false">VrlBack</f>
        <v>0.056</v>
      </c>
      <c r="J112" s="15" t="n">
        <v>84.8</v>
      </c>
      <c r="K112" s="15" t="n">
        <v>46.8</v>
      </c>
      <c r="L112" s="9" t="n">
        <v>0.03</v>
      </c>
      <c r="M112" s="9" t="n">
        <v>0.064</v>
      </c>
      <c r="N112" s="9" t="n">
        <v>0.095</v>
      </c>
      <c r="O112" s="2" t="s">
        <v>690</v>
      </c>
      <c r="P112" s="24" t="s">
        <v>691</v>
      </c>
      <c r="Q112" s="24"/>
      <c r="R112" s="2" t="s">
        <v>692</v>
      </c>
      <c r="S112" s="27" t="s">
        <v>693</v>
      </c>
      <c r="XEH112" s="0"/>
      <c r="XEI112" s="0"/>
    </row>
    <row r="113" s="2" customFormat="true" ht="69.75" hidden="false" customHeight="true" outlineLevel="0" collapsed="false">
      <c r="A113" s="24" t="s">
        <v>694</v>
      </c>
      <c r="B113" s="4" t="s">
        <v>695</v>
      </c>
      <c r="C113" s="28" t="s">
        <v>62</v>
      </c>
      <c r="D113" s="12"/>
      <c r="E113" s="10" t="n">
        <v>2090</v>
      </c>
      <c r="F113" s="10" t="n">
        <v>385</v>
      </c>
      <c r="G113" s="13" t="n">
        <v>7.17</v>
      </c>
      <c r="H113" s="14" t="n">
        <f aca="false">VlrTop</f>
        <v>0.385571428571429</v>
      </c>
      <c r="I113" s="14" t="n">
        <f aca="false">VrlTop</f>
        <v>0.048</v>
      </c>
      <c r="J113" s="15" t="n">
        <v>55.2</v>
      </c>
      <c r="K113" s="15" t="n">
        <v>35.9</v>
      </c>
      <c r="L113" s="9" t="n">
        <v>0.033</v>
      </c>
      <c r="M113" s="9" t="n">
        <v>0.052</v>
      </c>
      <c r="N113" s="9" t="n">
        <v>0.077</v>
      </c>
      <c r="O113" s="2" t="s">
        <v>696</v>
      </c>
      <c r="P113" s="24" t="s">
        <v>697</v>
      </c>
      <c r="Q113" s="24"/>
      <c r="R113" s="2" t="s">
        <v>698</v>
      </c>
      <c r="S113" s="27" t="s">
        <v>699</v>
      </c>
      <c r="XEH113" s="0"/>
      <c r="XEI113" s="0"/>
    </row>
    <row r="114" s="2" customFormat="true" ht="46.5" hidden="false" customHeight="true" outlineLevel="0" collapsed="false">
      <c r="A114" s="24" t="s">
        <v>700</v>
      </c>
      <c r="B114" s="4" t="s">
        <v>701</v>
      </c>
      <c r="C114" s="25"/>
      <c r="D114" s="12"/>
      <c r="E114" s="10" t="n">
        <v>10390</v>
      </c>
      <c r="F114" s="10" t="n">
        <v>855</v>
      </c>
      <c r="G114" s="13" t="n">
        <v>12.46</v>
      </c>
      <c r="H114" s="14" t="n">
        <f aca="false">VlrBack</f>
        <v>0.375692307692308</v>
      </c>
      <c r="I114" s="14" t="n">
        <f aca="false">VrlBack</f>
        <v>0.056</v>
      </c>
      <c r="J114" s="15" t="n">
        <v>101.4</v>
      </c>
      <c r="K114" s="15" t="n">
        <v>56.7</v>
      </c>
      <c r="L114" s="9" t="n">
        <v>0.048</v>
      </c>
      <c r="M114" s="9" t="n">
        <v>0.074</v>
      </c>
      <c r="N114" s="9" t="n">
        <v>0.132</v>
      </c>
      <c r="O114" s="2" t="s">
        <v>702</v>
      </c>
      <c r="P114" s="24" t="s">
        <v>703</v>
      </c>
      <c r="Q114" s="24"/>
      <c r="R114" s="2" t="s">
        <v>704</v>
      </c>
      <c r="S114" s="27" t="s">
        <v>705</v>
      </c>
      <c r="XEH114" s="0"/>
      <c r="XEI114" s="0"/>
    </row>
    <row r="115" s="2" customFormat="true" ht="69.75" hidden="false" customHeight="true" outlineLevel="0" collapsed="false">
      <c r="A115" s="24" t="s">
        <v>706</v>
      </c>
      <c r="B115" s="4" t="s">
        <v>707</v>
      </c>
      <c r="C115" s="25"/>
      <c r="D115" s="12"/>
      <c r="E115" s="10" t="n">
        <v>1860</v>
      </c>
      <c r="F115" s="10" t="n">
        <v>410</v>
      </c>
      <c r="G115" s="13" t="n">
        <v>8.41</v>
      </c>
      <c r="H115" s="14" t="n">
        <f aca="false">VlrTop</f>
        <v>0.385571428571429</v>
      </c>
      <c r="I115" s="14" t="n">
        <f aca="false">VrlTop</f>
        <v>0.048</v>
      </c>
      <c r="J115" s="15" t="n">
        <v>55.4</v>
      </c>
      <c r="K115" s="15" t="n">
        <v>29.4</v>
      </c>
      <c r="L115" s="9" t="n">
        <v>0.036</v>
      </c>
      <c r="M115" s="9" t="n">
        <v>0.06</v>
      </c>
      <c r="N115" s="9" t="n">
        <v>0.098</v>
      </c>
      <c r="O115" s="2" t="s">
        <v>708</v>
      </c>
      <c r="P115" s="24" t="s">
        <v>709</v>
      </c>
      <c r="Q115" s="24"/>
      <c r="R115" s="2" t="s">
        <v>710</v>
      </c>
      <c r="S115" s="27" t="s">
        <v>711</v>
      </c>
      <c r="XEH115" s="0"/>
      <c r="XEI115" s="0"/>
    </row>
    <row r="116" s="2" customFormat="true" ht="46.5" hidden="false" customHeight="true" outlineLevel="0" collapsed="false">
      <c r="A116" s="24" t="s">
        <v>712</v>
      </c>
      <c r="B116" s="4" t="s">
        <v>713</v>
      </c>
      <c r="C116" s="25"/>
      <c r="D116" s="12"/>
      <c r="E116" s="10" t="n">
        <v>15620</v>
      </c>
      <c r="F116" s="10" t="n">
        <v>1100</v>
      </c>
      <c r="G116" s="13" t="n">
        <v>22.07</v>
      </c>
      <c r="H116" s="14" t="n">
        <f aca="false">VlrBack</f>
        <v>0.375692307692308</v>
      </c>
      <c r="I116" s="14" t="n">
        <f aca="false">VrlBack</f>
        <v>0.056</v>
      </c>
      <c r="J116" s="15" t="n">
        <v>177</v>
      </c>
      <c r="K116" s="15" t="n">
        <v>93.8</v>
      </c>
      <c r="L116" s="9" t="n">
        <v>0.059</v>
      </c>
      <c r="M116" s="9" t="n">
        <v>0.072</v>
      </c>
      <c r="N116" s="9" t="n">
        <v>0.124</v>
      </c>
      <c r="O116" s="2" t="s">
        <v>714</v>
      </c>
      <c r="P116" s="24" t="s">
        <v>715</v>
      </c>
      <c r="Q116" s="24"/>
      <c r="R116" s="2" t="s">
        <v>716</v>
      </c>
      <c r="S116" s="27" t="s">
        <v>717</v>
      </c>
      <c r="XEH116" s="0"/>
      <c r="XEI116" s="0"/>
    </row>
    <row r="117" s="2" customFormat="true" ht="35.25" hidden="false" customHeight="true" outlineLevel="0" collapsed="false">
      <c r="A117" s="24" t="s">
        <v>718</v>
      </c>
      <c r="B117" s="4" t="s">
        <v>719</v>
      </c>
      <c r="C117" s="25"/>
      <c r="D117" s="26" t="n">
        <v>0</v>
      </c>
      <c r="E117" s="10" t="n">
        <v>5610</v>
      </c>
      <c r="F117" s="10" t="n">
        <v>660</v>
      </c>
      <c r="G117" s="13" t="n">
        <v>9.38</v>
      </c>
      <c r="H117" s="14" t="n">
        <f aca="false">VlrBack</f>
        <v>0.375692307692308</v>
      </c>
      <c r="I117" s="14" t="n">
        <f aca="false">VrlBack</f>
        <v>0.056</v>
      </c>
      <c r="J117" s="15" t="n">
        <v>87.6</v>
      </c>
      <c r="K117" s="15" t="n">
        <v>54</v>
      </c>
      <c r="L117" s="9" t="n">
        <v>0.033</v>
      </c>
      <c r="M117" s="9" t="n">
        <v>0.048</v>
      </c>
      <c r="N117" s="9" t="n">
        <v>0.088</v>
      </c>
      <c r="O117" s="2" t="s">
        <v>720</v>
      </c>
      <c r="P117" s="24" t="s">
        <v>721</v>
      </c>
      <c r="Q117" s="24"/>
      <c r="R117" s="2" t="s">
        <v>722</v>
      </c>
      <c r="S117" s="27" t="s">
        <v>723</v>
      </c>
      <c r="XEH117" s="0"/>
      <c r="XEI117" s="0"/>
    </row>
    <row r="118" s="2" customFormat="true" ht="24" hidden="false" customHeight="true" outlineLevel="0" collapsed="false">
      <c r="A118" s="24" t="s">
        <v>724</v>
      </c>
      <c r="B118" s="4" t="s">
        <v>725</v>
      </c>
      <c r="C118" s="25"/>
      <c r="D118" s="26"/>
      <c r="E118" s="10" t="n">
        <v>8270</v>
      </c>
      <c r="F118" s="10" t="n">
        <v>835</v>
      </c>
      <c r="G118" s="13" t="n">
        <v>14.7</v>
      </c>
      <c r="H118" s="14" t="n">
        <f aca="false">VlrBack</f>
        <v>0.375692307692308</v>
      </c>
      <c r="I118" s="14" t="n">
        <f aca="false">VrlBack</f>
        <v>0.056</v>
      </c>
      <c r="J118" s="15" t="n">
        <v>108</v>
      </c>
      <c r="K118" s="15" t="n">
        <v>66.2</v>
      </c>
      <c r="L118" s="9" t="n">
        <v>0.063</v>
      </c>
      <c r="M118" s="9" t="n">
        <v>0.094</v>
      </c>
      <c r="N118" s="9" t="n">
        <v>0.164</v>
      </c>
      <c r="O118" s="2" t="s">
        <v>726</v>
      </c>
      <c r="P118" s="24" t="s">
        <v>727</v>
      </c>
      <c r="Q118" s="24"/>
      <c r="R118" s="2" t="s">
        <v>728</v>
      </c>
      <c r="S118" s="27" t="s">
        <v>729</v>
      </c>
      <c r="XEH118" s="0"/>
      <c r="XEI118" s="0"/>
    </row>
    <row r="119" s="2" customFormat="true" ht="35.25" hidden="false" customHeight="true" outlineLevel="0" collapsed="false">
      <c r="A119" s="24" t="s">
        <v>730</v>
      </c>
      <c r="B119" s="4" t="s">
        <v>731</v>
      </c>
      <c r="C119" s="25"/>
      <c r="D119" s="26" t="n">
        <v>0</v>
      </c>
      <c r="E119" s="10" t="n">
        <v>11950</v>
      </c>
      <c r="F119" s="10" t="n">
        <v>910</v>
      </c>
      <c r="G119" s="13" t="n">
        <v>18.93</v>
      </c>
      <c r="H119" s="14" t="n">
        <f aca="false">VlrBack</f>
        <v>0.375692307692308</v>
      </c>
      <c r="I119" s="14" t="n">
        <f aca="false">VrlBack</f>
        <v>0.056</v>
      </c>
      <c r="J119" s="15" t="n">
        <v>155.2</v>
      </c>
      <c r="K119" s="15" t="n">
        <v>81.2</v>
      </c>
      <c r="L119" s="9" t="n">
        <v>0.042</v>
      </c>
      <c r="M119" s="9" t="n">
        <v>0.08</v>
      </c>
      <c r="N119" s="9" t="n">
        <v>0.121</v>
      </c>
      <c r="O119" s="2" t="s">
        <v>732</v>
      </c>
      <c r="P119" s="24" t="s">
        <v>733</v>
      </c>
      <c r="Q119" s="24"/>
      <c r="R119" s="2" t="s">
        <v>734</v>
      </c>
      <c r="S119" s="27" t="s">
        <v>735</v>
      </c>
      <c r="XEH119" s="0"/>
      <c r="XEI119" s="0"/>
    </row>
    <row r="120" s="2" customFormat="true" ht="35.25" hidden="false" customHeight="true" outlineLevel="0" collapsed="false">
      <c r="A120" s="24" t="s">
        <v>736</v>
      </c>
      <c r="B120" s="4" t="s">
        <v>737</v>
      </c>
      <c r="C120" s="25"/>
      <c r="D120" s="12"/>
      <c r="E120" s="10" t="n">
        <v>16260</v>
      </c>
      <c r="F120" s="10" t="n">
        <v>1150</v>
      </c>
      <c r="G120" s="13" t="n">
        <v>25.62</v>
      </c>
      <c r="H120" s="14" t="n">
        <f aca="false">VlrBack</f>
        <v>0.375692307692308</v>
      </c>
      <c r="I120" s="14" t="n">
        <f aca="false">VrlBack</f>
        <v>0.056</v>
      </c>
      <c r="J120" s="15" t="n">
        <v>193.2</v>
      </c>
      <c r="K120" s="15" t="n">
        <v>105.1</v>
      </c>
      <c r="L120" s="9" t="n">
        <v>0.039</v>
      </c>
      <c r="M120" s="9" t="n">
        <v>0.076</v>
      </c>
      <c r="N120" s="9" t="n">
        <v>0.112</v>
      </c>
      <c r="O120" s="2" t="s">
        <v>738</v>
      </c>
      <c r="P120" s="24" t="s">
        <v>739</v>
      </c>
      <c r="Q120" s="24"/>
      <c r="R120" s="2" t="s">
        <v>740</v>
      </c>
      <c r="S120" s="27" t="s">
        <v>741</v>
      </c>
      <c r="XEH120" s="0"/>
      <c r="XEI120" s="0"/>
    </row>
    <row r="121" s="2" customFormat="true" ht="35.25" hidden="false" customHeight="true" outlineLevel="0" collapsed="false">
      <c r="A121" s="24" t="s">
        <v>742</v>
      </c>
      <c r="B121" s="4" t="s">
        <v>743</v>
      </c>
      <c r="C121" s="25"/>
      <c r="D121" s="12"/>
      <c r="E121" s="10" t="n">
        <v>6170</v>
      </c>
      <c r="F121" s="10" t="n">
        <v>745</v>
      </c>
      <c r="G121" s="13" t="n">
        <v>15.81</v>
      </c>
      <c r="H121" s="14" t="n">
        <f aca="false">VlrBack</f>
        <v>0.375692307692308</v>
      </c>
      <c r="I121" s="14" t="n">
        <f aca="false">VrlBack</f>
        <v>0.056</v>
      </c>
      <c r="J121" s="15" t="n">
        <v>115.2</v>
      </c>
      <c r="K121" s="15" t="n">
        <v>61.4</v>
      </c>
      <c r="L121" s="9" t="n">
        <v>0.055</v>
      </c>
      <c r="M121" s="9" t="n">
        <v>0.108</v>
      </c>
      <c r="N121" s="9" t="n">
        <v>0.163</v>
      </c>
      <c r="O121" s="2" t="s">
        <v>744</v>
      </c>
      <c r="P121" s="24" t="s">
        <v>745</v>
      </c>
      <c r="Q121" s="24"/>
      <c r="R121" s="2" t="s">
        <v>746</v>
      </c>
      <c r="S121" s="27" t="s">
        <v>747</v>
      </c>
      <c r="XEH121" s="0"/>
      <c r="XEI121" s="0"/>
    </row>
    <row r="122" s="2" customFormat="true" ht="35.25" hidden="false" customHeight="true" outlineLevel="0" collapsed="false">
      <c r="A122" s="24" t="s">
        <v>748</v>
      </c>
      <c r="B122" s="4" t="s">
        <v>749</v>
      </c>
      <c r="C122" s="25"/>
      <c r="D122" s="26" t="n">
        <v>0</v>
      </c>
      <c r="E122" s="10" t="n">
        <v>17240</v>
      </c>
      <c r="F122" s="10" t="n">
        <v>1200</v>
      </c>
      <c r="G122" s="13" t="n">
        <v>20</v>
      </c>
      <c r="H122" s="14" t="n">
        <f aca="false">VlrBack</f>
        <v>0.375692307692308</v>
      </c>
      <c r="I122" s="14" t="n">
        <f aca="false">VrlBack</f>
        <v>0.056</v>
      </c>
      <c r="J122" s="15"/>
      <c r="K122" s="15"/>
      <c r="L122" s="9"/>
      <c r="M122" s="9"/>
      <c r="N122" s="9"/>
      <c r="O122" s="2" t="s">
        <v>750</v>
      </c>
      <c r="P122" s="24" t="s">
        <v>751</v>
      </c>
      <c r="Q122" s="24"/>
      <c r="R122" s="2" t="s">
        <v>752</v>
      </c>
      <c r="S122" s="27" t="s">
        <v>753</v>
      </c>
      <c r="XEH122" s="0"/>
      <c r="XEI122" s="0"/>
    </row>
    <row r="123" s="2" customFormat="true" ht="24" hidden="false" customHeight="true" outlineLevel="0" collapsed="false">
      <c r="A123" s="24" t="s">
        <v>754</v>
      </c>
      <c r="B123" s="4" t="s">
        <v>755</v>
      </c>
      <c r="C123" s="25"/>
      <c r="D123" s="26" t="n">
        <v>0</v>
      </c>
      <c r="E123" s="10" t="n">
        <v>5180</v>
      </c>
      <c r="F123" s="10" t="n">
        <v>610</v>
      </c>
      <c r="G123" s="13" t="n">
        <v>10.37</v>
      </c>
      <c r="H123" s="14" t="n">
        <f aca="false">VlrBack</f>
        <v>0.375692307692308</v>
      </c>
      <c r="I123" s="14" t="n">
        <f aca="false">VrlBack</f>
        <v>0.056</v>
      </c>
      <c r="J123" s="15" t="n">
        <v>87</v>
      </c>
      <c r="K123" s="15" t="n">
        <v>48.7</v>
      </c>
      <c r="L123" s="9" t="n">
        <v>0.055</v>
      </c>
      <c r="M123" s="9" t="n">
        <v>0.062</v>
      </c>
      <c r="N123" s="9" t="n">
        <v>0.124</v>
      </c>
      <c r="O123" s="2" t="s">
        <v>756</v>
      </c>
      <c r="P123" s="24" t="s">
        <v>757</v>
      </c>
      <c r="Q123" s="24"/>
      <c r="R123" s="2" t="s">
        <v>758</v>
      </c>
      <c r="S123" s="27" t="s">
        <v>759</v>
      </c>
      <c r="XEH123" s="0"/>
      <c r="XEI123" s="0"/>
    </row>
    <row r="124" s="2" customFormat="true" ht="103.5" hidden="false" customHeight="true" outlineLevel="0" collapsed="false">
      <c r="A124" s="24" t="s">
        <v>760</v>
      </c>
      <c r="B124" s="4" t="s">
        <v>761</v>
      </c>
      <c r="C124" s="25"/>
      <c r="D124" s="26"/>
      <c r="E124" s="10" t="n">
        <v>3740</v>
      </c>
      <c r="F124" s="10" t="n">
        <v>580</v>
      </c>
      <c r="G124" s="13"/>
      <c r="H124" s="14" t="n">
        <f aca="false">VlrBack</f>
        <v>0.375692307692308</v>
      </c>
      <c r="I124" s="14" t="n">
        <f aca="false">VrlBack</f>
        <v>0.056</v>
      </c>
      <c r="J124" s="15"/>
      <c r="K124" s="15"/>
      <c r="L124" s="9"/>
      <c r="M124" s="9"/>
      <c r="N124" s="9"/>
      <c r="O124" s="2" t="s">
        <v>762</v>
      </c>
      <c r="P124" s="24" t="s">
        <v>763</v>
      </c>
      <c r="Q124" s="24"/>
      <c r="R124" s="2" t="s">
        <v>764</v>
      </c>
      <c r="S124" s="27" t="s">
        <v>765</v>
      </c>
      <c r="XEH124" s="0"/>
      <c r="XEI124" s="0"/>
    </row>
    <row r="125" s="2" customFormat="true" ht="46.5" hidden="false" customHeight="true" outlineLevel="0" collapsed="false">
      <c r="A125" s="24" t="s">
        <v>766</v>
      </c>
      <c r="B125" s="4" t="s">
        <v>767</v>
      </c>
      <c r="C125" s="25"/>
      <c r="D125" s="12"/>
      <c r="E125" s="10" t="n">
        <v>9560</v>
      </c>
      <c r="F125" s="10" t="n">
        <v>885</v>
      </c>
      <c r="G125" s="13" t="n">
        <v>19.91</v>
      </c>
      <c r="H125" s="14" t="n">
        <f aca="false">VlrBack</f>
        <v>0.375692307692308</v>
      </c>
      <c r="I125" s="14" t="n">
        <f aca="false">VrlBack</f>
        <v>0.056</v>
      </c>
      <c r="J125" s="15"/>
      <c r="K125" s="15" t="n">
        <v>50.2</v>
      </c>
      <c r="L125" s="9" t="n">
        <v>0.035</v>
      </c>
      <c r="M125" s="9" t="n">
        <v>0.088</v>
      </c>
      <c r="N125" s="9" t="n">
        <v>0.115</v>
      </c>
      <c r="O125" s="2" t="s">
        <v>768</v>
      </c>
      <c r="P125" s="24" t="s">
        <v>769</v>
      </c>
      <c r="Q125" s="24"/>
      <c r="R125" s="2" t="s">
        <v>770</v>
      </c>
      <c r="S125" s="27" t="s">
        <v>771</v>
      </c>
      <c r="XEH125" s="0"/>
      <c r="XEI125" s="0"/>
    </row>
    <row r="126" s="2" customFormat="true" ht="24" hidden="false" customHeight="true" outlineLevel="0" collapsed="false">
      <c r="A126" s="24" t="s">
        <v>772</v>
      </c>
      <c r="B126" s="4" t="s">
        <v>773</v>
      </c>
      <c r="C126" s="28" t="s">
        <v>62</v>
      </c>
      <c r="D126" s="12"/>
      <c r="E126" s="10" t="n">
        <v>1890</v>
      </c>
      <c r="F126" s="10" t="n">
        <v>500</v>
      </c>
      <c r="G126" s="13" t="n">
        <v>6.82</v>
      </c>
      <c r="H126" s="14" t="n">
        <f aca="false">VlrTop</f>
        <v>0.385571428571429</v>
      </c>
      <c r="I126" s="14" t="n">
        <f aca="false">VrlTop</f>
        <v>0.048</v>
      </c>
      <c r="J126" s="15" t="n">
        <v>82.7</v>
      </c>
      <c r="K126" s="15" t="n">
        <v>38</v>
      </c>
      <c r="L126" s="9" t="n">
        <v>0.028</v>
      </c>
      <c r="M126" s="9" t="n">
        <v>0.067</v>
      </c>
      <c r="N126" s="9" t="n">
        <v>0.096</v>
      </c>
      <c r="O126" s="2" t="s">
        <v>774</v>
      </c>
      <c r="P126" s="24" t="s">
        <v>775</v>
      </c>
      <c r="Q126" s="24"/>
      <c r="R126" s="2" t="s">
        <v>776</v>
      </c>
      <c r="S126" s="32" t="s">
        <v>777</v>
      </c>
      <c r="XEH126" s="0"/>
      <c r="XEI126" s="0"/>
    </row>
    <row r="127" s="2" customFormat="true" ht="92.25" hidden="false" customHeight="true" outlineLevel="0" collapsed="false">
      <c r="A127" s="24" t="s">
        <v>778</v>
      </c>
      <c r="B127" s="4" t="s">
        <v>779</v>
      </c>
      <c r="C127" s="25"/>
      <c r="D127" s="12"/>
      <c r="E127" s="10" t="n">
        <v>19510</v>
      </c>
      <c r="F127" s="10" t="n">
        <v>1260</v>
      </c>
      <c r="G127" s="13" t="n">
        <v>14.09</v>
      </c>
      <c r="H127" s="14" t="n">
        <f aca="false">VlrBack</f>
        <v>0.375692307692308</v>
      </c>
      <c r="I127" s="14" t="n">
        <f aca="false">VrlBack</f>
        <v>0.056</v>
      </c>
      <c r="J127" s="15" t="n">
        <v>127.2</v>
      </c>
      <c r="K127" s="15" t="n">
        <v>84.1</v>
      </c>
      <c r="L127" s="9" t="n">
        <v>0.053</v>
      </c>
      <c r="M127" s="9" t="n">
        <v>0.087</v>
      </c>
      <c r="N127" s="9" t="n">
        <v>0.14</v>
      </c>
      <c r="O127" s="2" t="s">
        <v>780</v>
      </c>
      <c r="P127" s="24" t="s">
        <v>781</v>
      </c>
      <c r="Q127" s="24"/>
      <c r="R127" s="2" t="s">
        <v>782</v>
      </c>
      <c r="S127" s="27" t="s">
        <v>783</v>
      </c>
      <c r="XEH127" s="0"/>
      <c r="XEI127" s="0"/>
    </row>
    <row r="128" s="2" customFormat="true" ht="57.75" hidden="false" customHeight="true" outlineLevel="0" collapsed="false">
      <c r="A128" s="24" t="s">
        <v>784</v>
      </c>
      <c r="B128" s="4" t="s">
        <v>785</v>
      </c>
      <c r="C128" s="25"/>
      <c r="D128" s="12"/>
      <c r="E128" s="10" t="n">
        <v>2990</v>
      </c>
      <c r="F128" s="10" t="n">
        <v>555</v>
      </c>
      <c r="G128" s="13" t="n">
        <v>10.49</v>
      </c>
      <c r="H128" s="14" t="n">
        <f aca="false">VlrBack</f>
        <v>0.375692307692308</v>
      </c>
      <c r="I128" s="14" t="n">
        <f aca="false">VrlBack</f>
        <v>0.056</v>
      </c>
      <c r="J128" s="15" t="n">
        <v>86.2</v>
      </c>
      <c r="K128" s="15" t="n">
        <v>45.4</v>
      </c>
      <c r="L128" s="9" t="n">
        <v>0.043</v>
      </c>
      <c r="M128" s="9" t="n">
        <v>0.063</v>
      </c>
      <c r="N128" s="9" t="n">
        <v>0.108</v>
      </c>
      <c r="O128" s="2" t="s">
        <v>786</v>
      </c>
      <c r="P128" s="24" t="s">
        <v>787</v>
      </c>
      <c r="Q128" s="24"/>
      <c r="R128" s="2" t="s">
        <v>788</v>
      </c>
      <c r="S128" s="27" t="s">
        <v>789</v>
      </c>
      <c r="XEH128" s="0"/>
      <c r="XEI128" s="0"/>
    </row>
    <row r="129" s="2" customFormat="true" ht="35.25" hidden="false" customHeight="true" outlineLevel="0" collapsed="false">
      <c r="A129" s="24" t="s">
        <v>790</v>
      </c>
      <c r="B129" s="4" t="s">
        <v>791</v>
      </c>
      <c r="C129" s="33"/>
      <c r="D129" s="30"/>
      <c r="E129" s="10" t="n">
        <v>12920</v>
      </c>
      <c r="F129" s="10" t="n">
        <v>1000</v>
      </c>
      <c r="G129" s="13" t="n">
        <v>13.52</v>
      </c>
      <c r="H129" s="14" t="n">
        <f aca="false">VlrBack</f>
        <v>0.375692307692308</v>
      </c>
      <c r="I129" s="14" t="n">
        <f aca="false">VrlBack</f>
        <v>0.056</v>
      </c>
      <c r="J129" s="34" t="n">
        <v>125.6</v>
      </c>
      <c r="K129" s="34" t="n">
        <v>60.8</v>
      </c>
      <c r="L129" s="9" t="n">
        <v>0.066</v>
      </c>
      <c r="M129" s="9" t="n">
        <v>0.095</v>
      </c>
      <c r="N129" s="9" t="n">
        <v>0.147</v>
      </c>
      <c r="O129" s="2" t="s">
        <v>792</v>
      </c>
      <c r="P129" s="24" t="s">
        <v>793</v>
      </c>
      <c r="Q129" s="24"/>
      <c r="R129" s="2" t="s">
        <v>794</v>
      </c>
      <c r="S129" s="27" t="s">
        <v>795</v>
      </c>
      <c r="XEH129" s="0"/>
      <c r="XEI129" s="0"/>
    </row>
    <row r="130" s="2" customFormat="true" ht="15.75" hidden="false" customHeight="true" outlineLevel="0" collapsed="false">
      <c r="A130" s="24" t="s">
        <v>796</v>
      </c>
      <c r="B130" s="4" t="s">
        <v>797</v>
      </c>
      <c r="C130" s="28" t="s">
        <v>62</v>
      </c>
      <c r="D130" s="12"/>
      <c r="E130" s="10" t="n">
        <v>3070</v>
      </c>
      <c r="F130" s="10" t="n">
        <v>570</v>
      </c>
      <c r="G130" s="13" t="n">
        <v>12.3</v>
      </c>
      <c r="H130" s="14" t="n">
        <f aca="false">VlrBack</f>
        <v>0.375692307692308</v>
      </c>
      <c r="I130" s="14" t="n">
        <f aca="false">VrlBack</f>
        <v>0.056</v>
      </c>
      <c r="J130" s="15" t="n">
        <v>88.3</v>
      </c>
      <c r="K130" s="15" t="n">
        <v>49.2</v>
      </c>
      <c r="L130" s="9" t="n">
        <v>0.048</v>
      </c>
      <c r="M130" s="9" t="n">
        <v>0.074</v>
      </c>
      <c r="N130" s="9" t="n">
        <v>0.123</v>
      </c>
      <c r="O130" s="2" t="s">
        <v>798</v>
      </c>
      <c r="P130" s="24" t="s">
        <v>799</v>
      </c>
      <c r="Q130" s="24"/>
      <c r="R130" s="2" t="s">
        <v>800</v>
      </c>
      <c r="S130" s="27" t="s">
        <v>801</v>
      </c>
      <c r="XEH130" s="0"/>
      <c r="XEI130" s="0"/>
    </row>
    <row r="131" s="2" customFormat="true" ht="24" hidden="false" customHeight="true" outlineLevel="0" collapsed="false">
      <c r="A131" s="24" t="s">
        <v>802</v>
      </c>
      <c r="B131" s="4" t="s">
        <v>803</v>
      </c>
      <c r="C131" s="28" t="s">
        <v>62</v>
      </c>
      <c r="D131" s="12"/>
      <c r="E131" s="10" t="n">
        <v>2140</v>
      </c>
      <c r="F131" s="10" t="n">
        <v>465</v>
      </c>
      <c r="G131" s="13" t="n">
        <v>9.24</v>
      </c>
      <c r="H131" s="14" t="n">
        <v>0.337</v>
      </c>
      <c r="I131" s="14" t="n">
        <v>0.046</v>
      </c>
      <c r="J131" s="15" t="n">
        <v>64.8</v>
      </c>
      <c r="K131" s="15" t="n">
        <v>37</v>
      </c>
      <c r="L131" s="9" t="n">
        <v>0.043</v>
      </c>
      <c r="M131" s="9" t="n">
        <v>0.067</v>
      </c>
      <c r="N131" s="9" t="n">
        <v>0.111</v>
      </c>
      <c r="O131" s="2" t="s">
        <v>804</v>
      </c>
      <c r="P131" s="24" t="s">
        <v>805</v>
      </c>
      <c r="Q131" s="24"/>
      <c r="R131" s="2" t="s">
        <v>806</v>
      </c>
      <c r="S131" s="27" t="s">
        <v>807</v>
      </c>
      <c r="XEH131" s="0"/>
      <c r="XEI131" s="0"/>
    </row>
    <row r="132" s="2" customFormat="true" ht="15.75" hidden="false" customHeight="true" outlineLevel="0" collapsed="false">
      <c r="A132" s="24" t="s">
        <v>808</v>
      </c>
      <c r="B132" s="4" t="s">
        <v>809</v>
      </c>
      <c r="C132" s="28" t="s">
        <v>62</v>
      </c>
      <c r="D132" s="26"/>
      <c r="E132" s="10" t="n">
        <v>4120</v>
      </c>
      <c r="F132" s="10" t="n">
        <v>650</v>
      </c>
      <c r="G132" s="13" t="n">
        <v>13.7</v>
      </c>
      <c r="H132" s="14" t="n">
        <v>0.332</v>
      </c>
      <c r="I132" s="14" t="n">
        <f aca="false">VrlBack</f>
        <v>0.056</v>
      </c>
      <c r="J132" s="15" t="n">
        <v>100</v>
      </c>
      <c r="K132" s="15" t="n">
        <v>58.4</v>
      </c>
      <c r="L132" s="9" t="n">
        <v>0.051</v>
      </c>
      <c r="M132" s="9" t="n">
        <v>0.075</v>
      </c>
      <c r="N132" s="9" t="n">
        <v>0.122</v>
      </c>
      <c r="O132" s="2" t="s">
        <v>810</v>
      </c>
      <c r="P132" s="24" t="s">
        <v>811</v>
      </c>
      <c r="Q132" s="24"/>
      <c r="R132" s="2" t="s">
        <v>812</v>
      </c>
      <c r="S132" s="27" t="s">
        <v>813</v>
      </c>
      <c r="XEH132" s="0"/>
      <c r="XEI132" s="0"/>
    </row>
    <row r="133" s="2" customFormat="true" ht="138" hidden="false" customHeight="true" outlineLevel="0" collapsed="false">
      <c r="A133" s="24" t="s">
        <v>814</v>
      </c>
      <c r="B133" s="4" t="s">
        <v>815</v>
      </c>
      <c r="C133" s="25"/>
      <c r="D133" s="12"/>
      <c r="E133" s="10" t="n">
        <v>12030</v>
      </c>
      <c r="F133" s="10" t="n">
        <v>950</v>
      </c>
      <c r="G133" s="13" t="n">
        <v>19.56</v>
      </c>
      <c r="H133" s="14" t="n">
        <f aca="false">VlrBack</f>
        <v>0.375692307692308</v>
      </c>
      <c r="I133" s="14" t="n">
        <f aca="false">VrlBack</f>
        <v>0.056</v>
      </c>
      <c r="J133" s="15" t="n">
        <v>148.6</v>
      </c>
      <c r="K133" s="15" t="n">
        <v>80.7</v>
      </c>
      <c r="L133" s="9" t="n">
        <v>0.028</v>
      </c>
      <c r="M133" s="9" t="n">
        <v>0.043</v>
      </c>
      <c r="N133" s="9" t="n">
        <v>0.072</v>
      </c>
      <c r="O133" s="2" t="s">
        <v>816</v>
      </c>
      <c r="P133" s="24" t="s">
        <v>817</v>
      </c>
      <c r="Q133" s="24"/>
      <c r="R133" s="2" t="s">
        <v>818</v>
      </c>
      <c r="S133" s="27" t="s">
        <v>819</v>
      </c>
      <c r="XEH133" s="0"/>
      <c r="XEI133" s="0"/>
    </row>
    <row r="134" s="2" customFormat="true" ht="46.5" hidden="false" customHeight="true" outlineLevel="0" collapsed="false">
      <c r="A134" s="24" t="s">
        <v>820</v>
      </c>
      <c r="B134" s="4" t="s">
        <v>821</v>
      </c>
      <c r="C134" s="25"/>
      <c r="D134" s="12" t="n">
        <v>0</v>
      </c>
      <c r="E134" s="10" t="n">
        <v>14140</v>
      </c>
      <c r="F134" s="10" t="n">
        <v>1120</v>
      </c>
      <c r="G134" s="13" t="n">
        <v>17.35</v>
      </c>
      <c r="H134" s="14" t="n">
        <f aca="false">VlrBack</f>
        <v>0.375692307692308</v>
      </c>
      <c r="I134" s="14" t="n">
        <f aca="false">VrlBack</f>
        <v>0.056</v>
      </c>
      <c r="J134" s="15" t="n">
        <v>157.2</v>
      </c>
      <c r="K134" s="15" t="n">
        <v>80.2</v>
      </c>
      <c r="L134" s="9"/>
      <c r="M134" s="9"/>
      <c r="N134" s="9"/>
      <c r="O134" s="2" t="s">
        <v>822</v>
      </c>
      <c r="P134" s="24" t="s">
        <v>823</v>
      </c>
      <c r="Q134" s="24"/>
      <c r="R134" s="2" t="s">
        <v>824</v>
      </c>
      <c r="S134" s="27" t="s">
        <v>825</v>
      </c>
      <c r="XEH134" s="0"/>
      <c r="XEI134" s="0"/>
    </row>
    <row r="135" s="2" customFormat="true" ht="115.5" hidden="false" customHeight="true" outlineLevel="0" collapsed="false">
      <c r="A135" s="24" t="s">
        <v>826</v>
      </c>
      <c r="B135" s="4" t="s">
        <v>827</v>
      </c>
      <c r="C135" s="25"/>
      <c r="D135" s="26" t="n">
        <v>0</v>
      </c>
      <c r="E135" s="10" t="n">
        <v>12080</v>
      </c>
      <c r="F135" s="10" t="n">
        <v>935</v>
      </c>
      <c r="G135" s="13" t="n">
        <v>12.01</v>
      </c>
      <c r="H135" s="14" t="n">
        <f aca="false">VlrBack</f>
        <v>0.375692307692308</v>
      </c>
      <c r="I135" s="14" t="n">
        <f aca="false">VrlBack</f>
        <v>0.056</v>
      </c>
      <c r="J135" s="15" t="n">
        <v>165.7</v>
      </c>
      <c r="K135" s="15" t="n">
        <v>76.6</v>
      </c>
      <c r="L135" s="9" t="n">
        <v>0.037</v>
      </c>
      <c r="M135" s="9" t="n">
        <v>0.065</v>
      </c>
      <c r="N135" s="9" t="n">
        <v>0.103</v>
      </c>
      <c r="O135" s="2" t="s">
        <v>828</v>
      </c>
      <c r="P135" s="24" t="s">
        <v>829</v>
      </c>
      <c r="Q135" s="24"/>
      <c r="R135" s="2" t="s">
        <v>830</v>
      </c>
      <c r="S135" s="27" t="s">
        <v>831</v>
      </c>
      <c r="XEH135" s="0"/>
      <c r="XEI135" s="0"/>
    </row>
    <row r="136" s="2" customFormat="true" ht="35.25" hidden="false" customHeight="true" outlineLevel="0" collapsed="false">
      <c r="A136" s="24" t="s">
        <v>832</v>
      </c>
      <c r="B136" s="4" t="s">
        <v>832</v>
      </c>
      <c r="C136" s="25"/>
      <c r="D136" s="12"/>
      <c r="E136" s="10" t="n">
        <v>6490</v>
      </c>
      <c r="F136" s="10" t="n">
        <v>795</v>
      </c>
      <c r="G136" s="13" t="n">
        <v>8.48</v>
      </c>
      <c r="H136" s="14" t="n">
        <f aca="false">VlrBack</f>
        <v>0.375692307692308</v>
      </c>
      <c r="I136" s="14" t="n">
        <f aca="false">VrlBack</f>
        <v>0.056</v>
      </c>
      <c r="J136" s="15" t="n">
        <v>71.7</v>
      </c>
      <c r="K136" s="15" t="n">
        <v>47.4</v>
      </c>
      <c r="L136" s="9" t="n">
        <v>0.056</v>
      </c>
      <c r="M136" s="9" t="n">
        <v>0.124</v>
      </c>
      <c r="N136" s="9" t="n">
        <v>0.181</v>
      </c>
      <c r="O136" s="2" t="s">
        <v>833</v>
      </c>
      <c r="P136" s="24" t="s">
        <v>834</v>
      </c>
      <c r="Q136" s="24"/>
      <c r="R136" s="2" t="s">
        <v>835</v>
      </c>
      <c r="S136" s="27" t="s">
        <v>836</v>
      </c>
      <c r="XEH136" s="0"/>
      <c r="XEI136" s="0"/>
    </row>
    <row r="137" s="2" customFormat="true" ht="69.75" hidden="false" customHeight="true" outlineLevel="0" collapsed="false">
      <c r="A137" s="24" t="s">
        <v>837</v>
      </c>
      <c r="B137" s="4" t="s">
        <v>838</v>
      </c>
      <c r="C137" s="25"/>
      <c r="D137" s="12"/>
      <c r="E137" s="10" t="n">
        <v>5350</v>
      </c>
      <c r="F137" s="10" t="n">
        <v>685</v>
      </c>
      <c r="G137" s="13" t="n">
        <v>10.71</v>
      </c>
      <c r="H137" s="14" t="n">
        <f aca="false">VlrBack</f>
        <v>0.375692307692308</v>
      </c>
      <c r="I137" s="14" t="n">
        <f aca="false">VrlBack</f>
        <v>0.056</v>
      </c>
      <c r="J137" s="15" t="n">
        <v>112.6</v>
      </c>
      <c r="K137" s="15" t="n">
        <v>57.2</v>
      </c>
      <c r="L137" s="9" t="n">
        <v>0.055</v>
      </c>
      <c r="M137" s="9" t="n">
        <v>0.077</v>
      </c>
      <c r="N137" s="9" t="n">
        <v>0.124</v>
      </c>
      <c r="O137" s="2" t="s">
        <v>839</v>
      </c>
      <c r="P137" s="24" t="s">
        <v>840</v>
      </c>
      <c r="Q137" s="24"/>
      <c r="R137" s="2" t="s">
        <v>841</v>
      </c>
      <c r="S137" s="27" t="s">
        <v>842</v>
      </c>
      <c r="XEH137" s="0"/>
      <c r="XEI137" s="0"/>
    </row>
    <row r="138" s="2" customFormat="true" ht="24" hidden="false" customHeight="true" outlineLevel="0" collapsed="false">
      <c r="A138" s="24" t="s">
        <v>843</v>
      </c>
      <c r="B138" s="4" t="s">
        <v>844</v>
      </c>
      <c r="C138" s="25"/>
      <c r="D138" s="12" t="n">
        <v>0</v>
      </c>
      <c r="E138" s="10" t="n">
        <v>14140</v>
      </c>
      <c r="F138" s="10" t="n">
        <v>1155</v>
      </c>
      <c r="G138" s="13"/>
      <c r="H138" s="14" t="n">
        <f aca="false">VlrBack</f>
        <v>0.375692307692308</v>
      </c>
      <c r="I138" s="14" t="n">
        <f aca="false">VrlBack</f>
        <v>0.056</v>
      </c>
      <c r="J138" s="15"/>
      <c r="K138" s="15"/>
      <c r="L138" s="9"/>
      <c r="M138" s="9"/>
      <c r="N138" s="9"/>
      <c r="O138" s="2" t="s">
        <v>845</v>
      </c>
      <c r="P138" s="24" t="s">
        <v>846</v>
      </c>
      <c r="Q138" s="24"/>
      <c r="R138" s="2" t="s">
        <v>847</v>
      </c>
      <c r="S138" s="23"/>
      <c r="XEH138" s="0"/>
      <c r="XEI138" s="0"/>
    </row>
    <row r="139" s="2" customFormat="true" ht="35.25" hidden="false" customHeight="true" outlineLevel="0" collapsed="false">
      <c r="A139" s="24" t="s">
        <v>848</v>
      </c>
      <c r="B139" s="4" t="s">
        <v>849</v>
      </c>
      <c r="C139" s="28" t="s">
        <v>62</v>
      </c>
      <c r="D139" s="12"/>
      <c r="E139" s="10" t="n">
        <v>2490</v>
      </c>
      <c r="F139" s="10" t="n">
        <v>535</v>
      </c>
      <c r="G139" s="13" t="n">
        <v>5.28</v>
      </c>
      <c r="H139" s="14" t="n">
        <f aca="false">VlrBack</f>
        <v>0.375692307692308</v>
      </c>
      <c r="I139" s="14" t="n">
        <f aca="false">VrlBack</f>
        <v>0.056</v>
      </c>
      <c r="J139" s="15" t="n">
        <v>44.6</v>
      </c>
      <c r="K139" s="15"/>
      <c r="L139" s="9"/>
      <c r="M139" s="9"/>
      <c r="N139" s="9"/>
      <c r="O139" s="2" t="s">
        <v>630</v>
      </c>
      <c r="P139" s="24" t="s">
        <v>850</v>
      </c>
      <c r="Q139" s="24"/>
      <c r="R139" s="2" t="s">
        <v>851</v>
      </c>
      <c r="S139" s="27" t="s">
        <v>852</v>
      </c>
      <c r="XEH139" s="0"/>
      <c r="XEI139" s="0"/>
    </row>
    <row r="140" s="2" customFormat="true" ht="35.25" hidden="false" customHeight="true" outlineLevel="0" collapsed="false">
      <c r="A140" s="24" t="s">
        <v>853</v>
      </c>
      <c r="B140" s="4" t="s">
        <v>854</v>
      </c>
      <c r="C140" s="28" t="s">
        <v>62</v>
      </c>
      <c r="D140" s="12"/>
      <c r="E140" s="10" t="n">
        <v>2240</v>
      </c>
      <c r="F140" s="10" t="n">
        <v>470</v>
      </c>
      <c r="G140" s="13" t="n">
        <v>8.72</v>
      </c>
      <c r="H140" s="14" t="n">
        <f aca="false">VlrTop</f>
        <v>0.385571428571429</v>
      </c>
      <c r="I140" s="14" t="n">
        <f aca="false">VrlTop</f>
        <v>0.048</v>
      </c>
      <c r="J140" s="15" t="n">
        <v>76.4</v>
      </c>
      <c r="K140" s="15" t="n">
        <v>39</v>
      </c>
      <c r="L140" s="9" t="n">
        <v>0.028</v>
      </c>
      <c r="M140" s="9" t="n">
        <v>0.059</v>
      </c>
      <c r="N140" s="9" t="n">
        <v>0.081</v>
      </c>
      <c r="O140" s="2" t="s">
        <v>855</v>
      </c>
      <c r="P140" s="24" t="s">
        <v>856</v>
      </c>
      <c r="Q140" s="24"/>
      <c r="R140" s="2" t="s">
        <v>857</v>
      </c>
      <c r="S140" s="27" t="s">
        <v>858</v>
      </c>
      <c r="XEH140" s="0"/>
      <c r="XEI140" s="0"/>
    </row>
    <row r="141" s="2" customFormat="true" ht="35.25" hidden="false" customHeight="true" outlineLevel="0" collapsed="false">
      <c r="A141" s="24" t="s">
        <v>859</v>
      </c>
      <c r="B141" s="4" t="s">
        <v>860</v>
      </c>
      <c r="C141" s="25"/>
      <c r="D141" s="12"/>
      <c r="E141" s="10" t="n">
        <v>4010</v>
      </c>
      <c r="F141" s="10" t="n">
        <v>600</v>
      </c>
      <c r="G141" s="13" t="n">
        <v>7.92</v>
      </c>
      <c r="H141" s="14" t="n">
        <f aca="false">VlrBack</f>
        <v>0.375692307692308</v>
      </c>
      <c r="I141" s="14" t="n">
        <f aca="false">VrlBack</f>
        <v>0.056</v>
      </c>
      <c r="J141" s="15" t="n">
        <v>65.7</v>
      </c>
      <c r="K141" s="15" t="n">
        <v>39.9</v>
      </c>
      <c r="L141" s="9" t="n">
        <v>0.02</v>
      </c>
      <c r="M141" s="9" t="n">
        <v>0.034</v>
      </c>
      <c r="N141" s="9" t="n">
        <v>0.06</v>
      </c>
      <c r="O141" s="2" t="s">
        <v>861</v>
      </c>
      <c r="P141" s="24" t="s">
        <v>862</v>
      </c>
      <c r="Q141" s="24"/>
      <c r="R141" s="2" t="s">
        <v>863</v>
      </c>
      <c r="S141" s="27" t="s">
        <v>864</v>
      </c>
      <c r="XEH141" s="0"/>
      <c r="XEI141" s="0"/>
    </row>
    <row r="142" s="2" customFormat="true" ht="24" hidden="false" customHeight="true" outlineLevel="0" collapsed="false">
      <c r="A142" s="24" t="s">
        <v>865</v>
      </c>
      <c r="B142" s="4" t="s">
        <v>866</v>
      </c>
      <c r="C142" s="28" t="s">
        <v>62</v>
      </c>
      <c r="D142" s="12"/>
      <c r="E142" s="10" t="n">
        <v>2750</v>
      </c>
      <c r="F142" s="10" t="n">
        <v>515</v>
      </c>
      <c r="G142" s="13" t="n">
        <v>7.81</v>
      </c>
      <c r="H142" s="14" t="n">
        <f aca="false">VlrBack</f>
        <v>0.375692307692308</v>
      </c>
      <c r="I142" s="14" t="n">
        <f aca="false">VrlBack</f>
        <v>0.056</v>
      </c>
      <c r="J142" s="15" t="n">
        <v>81.2</v>
      </c>
      <c r="K142" s="15" t="n">
        <v>39.4</v>
      </c>
      <c r="L142" s="9" t="n">
        <v>0.035</v>
      </c>
      <c r="M142" s="9" t="n">
        <v>0.063</v>
      </c>
      <c r="N142" s="9" t="n">
        <v>0.085</v>
      </c>
      <c r="O142" s="2" t="s">
        <v>867</v>
      </c>
      <c r="P142" s="24" t="s">
        <v>868</v>
      </c>
      <c r="Q142" s="24"/>
      <c r="R142" s="2" t="s">
        <v>869</v>
      </c>
      <c r="S142" s="27" t="s">
        <v>870</v>
      </c>
      <c r="XEH142" s="0"/>
      <c r="XEI142" s="0"/>
    </row>
    <row r="143" s="2" customFormat="true" ht="35.25" hidden="false" customHeight="true" outlineLevel="0" collapsed="false">
      <c r="A143" s="24" t="s">
        <v>871</v>
      </c>
      <c r="B143" s="4" t="s">
        <v>872</v>
      </c>
      <c r="C143" s="25"/>
      <c r="D143" s="12"/>
      <c r="E143" s="10" t="n">
        <v>15060</v>
      </c>
      <c r="F143" s="10" t="n">
        <v>1075</v>
      </c>
      <c r="G143" s="13" t="n">
        <v>13.22</v>
      </c>
      <c r="H143" s="14" t="n">
        <f aca="false">VlrBack</f>
        <v>0.375692307692308</v>
      </c>
      <c r="I143" s="14" t="n">
        <f aca="false">VrlBack</f>
        <v>0.056</v>
      </c>
      <c r="J143" s="15" t="n">
        <v>114</v>
      </c>
      <c r="K143" s="15" t="n">
        <v>70.3</v>
      </c>
      <c r="L143" s="9" t="n">
        <v>0.04</v>
      </c>
      <c r="M143" s="9" t="n">
        <v>0.052</v>
      </c>
      <c r="N143" s="9" t="n">
        <v>0.093</v>
      </c>
      <c r="O143" s="2" t="s">
        <v>873</v>
      </c>
      <c r="P143" s="24" t="s">
        <v>874</v>
      </c>
      <c r="Q143" s="24"/>
      <c r="R143" s="2" t="s">
        <v>875</v>
      </c>
      <c r="S143" s="27" t="s">
        <v>876</v>
      </c>
      <c r="XEH143" s="0"/>
      <c r="XEI143" s="0"/>
    </row>
    <row r="144" s="2" customFormat="true" ht="24" hidden="false" customHeight="true" outlineLevel="0" collapsed="false">
      <c r="A144" s="24" t="s">
        <v>877</v>
      </c>
      <c r="B144" s="4" t="s">
        <v>878</v>
      </c>
      <c r="C144" s="25"/>
      <c r="D144" s="12"/>
      <c r="E144" s="10" t="n">
        <v>10230</v>
      </c>
      <c r="F144" s="10" t="n">
        <v>1015</v>
      </c>
      <c r="G144" s="13" t="n">
        <v>19.24</v>
      </c>
      <c r="H144" s="14" t="n">
        <f aca="false">VlrBack</f>
        <v>0.375692307692308</v>
      </c>
      <c r="I144" s="14" t="n">
        <f aca="false">VrlBack</f>
        <v>0.056</v>
      </c>
      <c r="J144" s="15" t="n">
        <v>155.5</v>
      </c>
      <c r="K144" s="15" t="n">
        <v>82.4</v>
      </c>
      <c r="L144" s="9" t="n">
        <v>0.067</v>
      </c>
      <c r="M144" s="9" t="n">
        <v>0.099</v>
      </c>
      <c r="N144" s="9" t="n">
        <v>0.177</v>
      </c>
      <c r="O144" s="2" t="s">
        <v>879</v>
      </c>
      <c r="P144" s="24" t="s">
        <v>880</v>
      </c>
      <c r="Q144" s="24"/>
      <c r="R144" s="2" t="s">
        <v>881</v>
      </c>
      <c r="S144" s="27" t="s">
        <v>882</v>
      </c>
      <c r="XEH144" s="0"/>
      <c r="XEI144" s="0"/>
    </row>
    <row r="145" s="2" customFormat="true" ht="35.25" hidden="false" customHeight="true" outlineLevel="0" collapsed="false">
      <c r="A145" s="24" t="s">
        <v>883</v>
      </c>
      <c r="B145" s="4" t="s">
        <v>884</v>
      </c>
      <c r="C145" s="25"/>
      <c r="D145" s="12"/>
      <c r="E145" s="10" t="n">
        <v>7340</v>
      </c>
      <c r="F145" s="10" t="n">
        <v>800</v>
      </c>
      <c r="G145" s="13" t="n">
        <v>18.6</v>
      </c>
      <c r="H145" s="14" t="n">
        <f aca="false">VlrBack</f>
        <v>0.375692307692308</v>
      </c>
      <c r="I145" s="14" t="n">
        <f aca="false">VrlBack</f>
        <v>0.056</v>
      </c>
      <c r="J145" s="15" t="n">
        <v>152.3</v>
      </c>
      <c r="K145" s="15" t="n">
        <v>79.9</v>
      </c>
      <c r="L145" s="9" t="n">
        <v>0.052</v>
      </c>
      <c r="M145" s="9" t="n">
        <v>0.09</v>
      </c>
      <c r="N145" s="9" t="n">
        <v>0.126</v>
      </c>
      <c r="O145" s="2" t="s">
        <v>885</v>
      </c>
      <c r="P145" s="24" t="s">
        <v>886</v>
      </c>
      <c r="Q145" s="24"/>
      <c r="R145" s="2" t="s">
        <v>887</v>
      </c>
      <c r="S145" s="27" t="s">
        <v>888</v>
      </c>
      <c r="XEH145" s="0"/>
      <c r="XEI145" s="0"/>
    </row>
    <row r="146" s="2" customFormat="true" ht="35.25" hidden="false" customHeight="true" outlineLevel="0" collapsed="false">
      <c r="A146" s="24" t="s">
        <v>889</v>
      </c>
      <c r="B146" s="4" t="s">
        <v>890</v>
      </c>
      <c r="C146" s="25"/>
      <c r="D146" s="12"/>
      <c r="E146" s="10" t="n">
        <v>5620</v>
      </c>
      <c r="F146" s="10" t="n">
        <v>655</v>
      </c>
      <c r="G146" s="13" t="n">
        <v>11.89</v>
      </c>
      <c r="H146" s="14" t="n">
        <f aca="false">VlrBack</f>
        <v>0.375692307692308</v>
      </c>
      <c r="I146" s="14" t="n">
        <f aca="false">VrlBack</f>
        <v>0.056</v>
      </c>
      <c r="J146" s="15" t="n">
        <v>96.3</v>
      </c>
      <c r="K146" s="15" t="n">
        <v>57</v>
      </c>
      <c r="L146" s="9" t="n">
        <v>0.028</v>
      </c>
      <c r="M146" s="9" t="n">
        <v>0.04</v>
      </c>
      <c r="N146" s="9" t="n">
        <v>0.069</v>
      </c>
      <c r="O146" s="2" t="s">
        <v>891</v>
      </c>
      <c r="P146" s="24" t="s">
        <v>892</v>
      </c>
      <c r="Q146" s="24"/>
      <c r="R146" s="2" t="s">
        <v>893</v>
      </c>
      <c r="S146" s="27" t="s">
        <v>894</v>
      </c>
      <c r="XEH146" s="0"/>
      <c r="XEI146" s="0"/>
    </row>
    <row r="147" s="2" customFormat="true" ht="24" hidden="false" customHeight="true" outlineLevel="0" collapsed="false">
      <c r="A147" s="24" t="s">
        <v>895</v>
      </c>
      <c r="B147" s="4" t="s">
        <v>896</v>
      </c>
      <c r="C147" s="28" t="s">
        <v>62</v>
      </c>
      <c r="D147" s="12"/>
      <c r="E147" s="10" t="n">
        <v>3230</v>
      </c>
      <c r="F147" s="10" t="n">
        <v>540</v>
      </c>
      <c r="G147" s="13" t="n">
        <v>11.87</v>
      </c>
      <c r="H147" s="14" t="n">
        <f aca="false">VlrBack</f>
        <v>0.375692307692308</v>
      </c>
      <c r="I147" s="14" t="n">
        <f aca="false">VrlBack</f>
        <v>0.056</v>
      </c>
      <c r="J147" s="15" t="n">
        <v>86.6</v>
      </c>
      <c r="K147" s="15" t="n">
        <v>42.3</v>
      </c>
      <c r="L147" s="9" t="n">
        <v>0.041</v>
      </c>
      <c r="M147" s="9" t="n">
        <v>0.06</v>
      </c>
      <c r="N147" s="9" t="n">
        <v>0.113</v>
      </c>
      <c r="O147" s="2" t="s">
        <v>897</v>
      </c>
      <c r="P147" s="24" t="s">
        <v>898</v>
      </c>
      <c r="Q147" s="24"/>
      <c r="R147" s="2" t="s">
        <v>899</v>
      </c>
      <c r="S147" s="27" t="s">
        <v>900</v>
      </c>
      <c r="XEH147" s="0"/>
      <c r="XEI147" s="0"/>
    </row>
    <row r="148" s="2" customFormat="true" ht="15.75" hidden="false" customHeight="true" outlineLevel="0" collapsed="false">
      <c r="A148" s="24" t="s">
        <v>901</v>
      </c>
      <c r="B148" s="4" t="s">
        <v>902</v>
      </c>
      <c r="C148" s="28" t="s">
        <v>62</v>
      </c>
      <c r="D148" s="12"/>
      <c r="E148" s="10" t="n">
        <v>1820</v>
      </c>
      <c r="F148" s="10" t="n">
        <v>415</v>
      </c>
      <c r="G148" s="13" t="n">
        <v>11.17</v>
      </c>
      <c r="H148" s="14" t="n">
        <f aca="false">VlrTop</f>
        <v>0.385571428571429</v>
      </c>
      <c r="I148" s="14" t="n">
        <f aca="false">VrlTop</f>
        <v>0.048</v>
      </c>
      <c r="J148" s="15" t="n">
        <v>74.4</v>
      </c>
      <c r="K148" s="15" t="n">
        <v>39.5</v>
      </c>
      <c r="L148" s="9" t="n">
        <v>0.043</v>
      </c>
      <c r="M148" s="9" t="n">
        <v>0.083</v>
      </c>
      <c r="N148" s="9" t="n">
        <v>0.124</v>
      </c>
      <c r="O148" s="2" t="s">
        <v>903</v>
      </c>
      <c r="P148" s="24" t="s">
        <v>904</v>
      </c>
      <c r="Q148" s="24"/>
      <c r="R148" s="2" t="s">
        <v>905</v>
      </c>
      <c r="S148" s="27" t="s">
        <v>906</v>
      </c>
      <c r="XEH148" s="0"/>
      <c r="XEI148" s="0"/>
    </row>
    <row r="149" s="2" customFormat="true" ht="35.25" hidden="false" customHeight="true" outlineLevel="0" collapsed="false">
      <c r="A149" s="24" t="s">
        <v>907</v>
      </c>
      <c r="B149" s="4" t="s">
        <v>908</v>
      </c>
      <c r="C149" s="25"/>
      <c r="D149" s="26"/>
      <c r="E149" s="10" t="n">
        <v>3740</v>
      </c>
      <c r="F149" s="10" t="n">
        <v>560</v>
      </c>
      <c r="G149" s="13" t="n">
        <v>8.92</v>
      </c>
      <c r="H149" s="14" t="n">
        <f aca="false">VlrBack</f>
        <v>0.375692307692308</v>
      </c>
      <c r="I149" s="14" t="n">
        <f aca="false">VrlBack</f>
        <v>0.056</v>
      </c>
      <c r="J149" s="15" t="n">
        <v>65.7</v>
      </c>
      <c r="K149" s="15" t="n">
        <v>39.2</v>
      </c>
      <c r="L149" s="9" t="n">
        <v>0.038</v>
      </c>
      <c r="M149" s="9" t="n">
        <v>0.072</v>
      </c>
      <c r="N149" s="9" t="n">
        <v>0.115</v>
      </c>
      <c r="O149" s="2" t="s">
        <v>909</v>
      </c>
      <c r="P149" s="24" t="s">
        <v>910</v>
      </c>
      <c r="Q149" s="24"/>
      <c r="R149" s="2" t="s">
        <v>911</v>
      </c>
      <c r="S149" s="27" t="s">
        <v>912</v>
      </c>
      <c r="XEH149" s="0"/>
      <c r="XEI149" s="0"/>
    </row>
    <row r="150" s="2" customFormat="true" ht="35.25" hidden="false" customHeight="true" outlineLevel="0" collapsed="false">
      <c r="A150" s="24" t="s">
        <v>913</v>
      </c>
      <c r="B150" s="4" t="s">
        <v>914</v>
      </c>
      <c r="C150" s="28" t="s">
        <v>62</v>
      </c>
      <c r="D150" s="12"/>
      <c r="E150" s="10" t="n">
        <v>1420</v>
      </c>
      <c r="F150" s="10" t="n">
        <v>350</v>
      </c>
      <c r="G150" s="13" t="n">
        <v>5.52</v>
      </c>
      <c r="H150" s="14" t="n">
        <v>0.337</v>
      </c>
      <c r="I150" s="14" t="n">
        <v>0.046</v>
      </c>
      <c r="J150" s="15" t="n">
        <v>44.8</v>
      </c>
      <c r="K150" s="15" t="n">
        <v>27.3</v>
      </c>
      <c r="L150" s="9" t="n">
        <v>0.022</v>
      </c>
      <c r="M150" s="9" t="n">
        <v>0.049</v>
      </c>
      <c r="N150" s="9" t="n">
        <v>0.072</v>
      </c>
      <c r="O150" s="2" t="s">
        <v>915</v>
      </c>
      <c r="P150" s="24" t="s">
        <v>916</v>
      </c>
      <c r="Q150" s="24"/>
      <c r="R150" s="2" t="s">
        <v>917</v>
      </c>
      <c r="S150" s="27" t="s">
        <v>918</v>
      </c>
      <c r="XEH150" s="0"/>
      <c r="XEI150" s="0"/>
    </row>
    <row r="151" s="2" customFormat="true" ht="15.75" hidden="false" customHeight="true" outlineLevel="0" collapsed="false">
      <c r="A151" s="24" t="s">
        <v>919</v>
      </c>
      <c r="B151" s="4" t="s">
        <v>920</v>
      </c>
      <c r="C151" s="25"/>
      <c r="D151" s="26" t="n">
        <v>0.59</v>
      </c>
      <c r="E151" s="10" t="n">
        <v>4510</v>
      </c>
      <c r="F151" s="10" t="n">
        <v>645</v>
      </c>
      <c r="G151" s="13" t="n">
        <v>10.6</v>
      </c>
      <c r="H151" s="14" t="n">
        <f aca="false">VlrBack</f>
        <v>0.375692307692308</v>
      </c>
      <c r="I151" s="14" t="n">
        <f aca="false">VrlBack</f>
        <v>0.056</v>
      </c>
      <c r="J151" s="15" t="n">
        <v>115</v>
      </c>
      <c r="K151" s="15" t="n">
        <v>59</v>
      </c>
      <c r="L151" s="9" t="n">
        <v>0.045</v>
      </c>
      <c r="M151" s="9" t="n">
        <v>0.078</v>
      </c>
      <c r="N151" s="9" t="n">
        <v>0.123</v>
      </c>
      <c r="O151" s="2" t="s">
        <v>921</v>
      </c>
      <c r="P151" s="24" t="s">
        <v>922</v>
      </c>
      <c r="Q151" s="24"/>
      <c r="R151" s="2" t="s">
        <v>923</v>
      </c>
      <c r="S151" s="27" t="s">
        <v>924</v>
      </c>
      <c r="XEH151" s="0"/>
      <c r="XEI151" s="0"/>
    </row>
    <row r="152" s="2" customFormat="true" ht="46.5" hidden="false" customHeight="true" outlineLevel="0" collapsed="false">
      <c r="A152" s="24" t="s">
        <v>925</v>
      </c>
      <c r="B152" s="4" t="s">
        <v>926</v>
      </c>
      <c r="C152" s="28" t="s">
        <v>62</v>
      </c>
      <c r="D152" s="12"/>
      <c r="E152" s="10" t="n">
        <v>1680</v>
      </c>
      <c r="F152" s="10" t="n">
        <v>405</v>
      </c>
      <c r="G152" s="13" t="n">
        <v>9.7</v>
      </c>
      <c r="H152" s="14" t="n">
        <v>0.372</v>
      </c>
      <c r="I152" s="14" t="n">
        <v>0.04</v>
      </c>
      <c r="J152" s="15" t="n">
        <v>63</v>
      </c>
      <c r="K152" s="15" t="n">
        <v>35.5</v>
      </c>
      <c r="L152" s="9" t="n">
        <v>0.039</v>
      </c>
      <c r="M152" s="9" t="n">
        <v>0.082</v>
      </c>
      <c r="N152" s="9" t="n">
        <v>0.129</v>
      </c>
      <c r="O152" s="2" t="s">
        <v>927</v>
      </c>
      <c r="P152" s="24" t="s">
        <v>928</v>
      </c>
      <c r="Q152" s="24"/>
      <c r="R152" s="2" t="s">
        <v>929</v>
      </c>
      <c r="S152" s="27" t="s">
        <v>930</v>
      </c>
      <c r="XEH152" s="0"/>
      <c r="XEI152" s="0"/>
    </row>
    <row r="153" s="2" customFormat="true" ht="24" hidden="false" customHeight="true" outlineLevel="0" collapsed="false">
      <c r="A153" s="24" t="s">
        <v>931</v>
      </c>
      <c r="B153" s="4" t="s">
        <v>932</v>
      </c>
      <c r="C153" s="25"/>
      <c r="D153" s="12"/>
      <c r="E153" s="10" t="n">
        <v>4760</v>
      </c>
      <c r="F153" s="10" t="n">
        <v>620</v>
      </c>
      <c r="G153" s="13" t="n">
        <v>13.37</v>
      </c>
      <c r="H153" s="14" t="n">
        <f aca="false">VlrBack</f>
        <v>0.375692307692308</v>
      </c>
      <c r="I153" s="14" t="n">
        <f aca="false">VrlBack</f>
        <v>0.056</v>
      </c>
      <c r="J153" s="15" t="n">
        <v>96</v>
      </c>
      <c r="K153" s="15" t="n">
        <v>54.4</v>
      </c>
      <c r="L153" s="9" t="n">
        <v>0.032</v>
      </c>
      <c r="M153" s="9" t="n">
        <v>0.055</v>
      </c>
      <c r="N153" s="9" t="n">
        <v>0.087</v>
      </c>
      <c r="O153" s="2" t="s">
        <v>933</v>
      </c>
      <c r="P153" s="24" t="s">
        <v>934</v>
      </c>
      <c r="Q153" s="24"/>
      <c r="R153" s="2" t="s">
        <v>935</v>
      </c>
      <c r="S153" s="27" t="s">
        <v>936</v>
      </c>
      <c r="XEH153" s="0"/>
      <c r="XEI153" s="0"/>
    </row>
    <row r="154" s="2" customFormat="true" ht="57.75" hidden="false" customHeight="true" outlineLevel="0" collapsed="false">
      <c r="A154" s="24" t="s">
        <v>937</v>
      </c>
      <c r="B154" s="4" t="s">
        <v>938</v>
      </c>
      <c r="C154" s="25"/>
      <c r="D154" s="12"/>
      <c r="E154" s="10" t="n">
        <v>1960</v>
      </c>
      <c r="F154" s="10" t="n">
        <v>380</v>
      </c>
      <c r="G154" s="13" t="n">
        <v>6.44</v>
      </c>
      <c r="H154" s="14" t="n">
        <f aca="false">VlrTop</f>
        <v>0.385571428571429</v>
      </c>
      <c r="I154" s="14" t="n">
        <f aca="false">VrlTop</f>
        <v>0.048</v>
      </c>
      <c r="J154" s="15" t="n">
        <v>59.8</v>
      </c>
      <c r="K154" s="15" t="n">
        <v>29.7</v>
      </c>
      <c r="L154" s="9" t="n">
        <v>0.031</v>
      </c>
      <c r="M154" s="9" t="n">
        <v>0.053</v>
      </c>
      <c r="N154" s="9" t="n">
        <v>0.087</v>
      </c>
      <c r="O154" s="2" t="s">
        <v>939</v>
      </c>
      <c r="P154" s="24" t="s">
        <v>940</v>
      </c>
      <c r="Q154" s="24"/>
      <c r="R154" s="2" t="s">
        <v>941</v>
      </c>
      <c r="S154" s="27" t="s">
        <v>942</v>
      </c>
      <c r="XEH154" s="0"/>
      <c r="XEI154" s="0"/>
    </row>
    <row r="155" s="2" customFormat="true" ht="35.25" hidden="false" customHeight="true" outlineLevel="0" collapsed="false">
      <c r="A155" s="24" t="s">
        <v>943</v>
      </c>
      <c r="B155" s="4" t="s">
        <v>944</v>
      </c>
      <c r="C155" s="25"/>
      <c r="D155" s="12"/>
      <c r="E155" s="10" t="n">
        <v>1790</v>
      </c>
      <c r="F155" s="10" t="n">
        <v>430</v>
      </c>
      <c r="G155" s="13" t="n">
        <v>8.47</v>
      </c>
      <c r="H155" s="14" t="n">
        <f aca="false">VlrTop</f>
        <v>0.385571428571429</v>
      </c>
      <c r="I155" s="14" t="n">
        <f aca="false">VrlTop</f>
        <v>0.048</v>
      </c>
      <c r="J155" s="15" t="n">
        <v>75</v>
      </c>
      <c r="K155" s="15" t="n">
        <v>36.2</v>
      </c>
      <c r="L155" s="9" t="n">
        <v>0.046</v>
      </c>
      <c r="M155" s="9" t="n">
        <v>0.071</v>
      </c>
      <c r="N155" s="9" t="n">
        <v>0.122</v>
      </c>
      <c r="O155" s="2" t="s">
        <v>945</v>
      </c>
      <c r="P155" s="24" t="s">
        <v>946</v>
      </c>
      <c r="Q155" s="24"/>
      <c r="R155" s="2" t="s">
        <v>947</v>
      </c>
      <c r="S155" s="27" t="s">
        <v>948</v>
      </c>
      <c r="XEH155" s="0"/>
      <c r="XEI155" s="0"/>
    </row>
    <row r="156" s="2" customFormat="true" ht="15.75" hidden="false" customHeight="true" outlineLevel="0" collapsed="false">
      <c r="A156" s="24" t="s">
        <v>949</v>
      </c>
      <c r="B156" s="4" t="s">
        <v>950</v>
      </c>
      <c r="C156" s="25"/>
      <c r="D156" s="26" t="n">
        <v>0.67</v>
      </c>
      <c r="E156" s="10" t="n">
        <v>5160</v>
      </c>
      <c r="F156" s="10" t="n">
        <v>610</v>
      </c>
      <c r="G156" s="13" t="n">
        <v>9.38</v>
      </c>
      <c r="H156" s="14" t="n">
        <f aca="false">VlrBack</f>
        <v>0.375692307692308</v>
      </c>
      <c r="I156" s="14" t="n">
        <f aca="false">VrlBack</f>
        <v>0.056</v>
      </c>
      <c r="J156" s="15" t="n">
        <v>87.6</v>
      </c>
      <c r="K156" s="15" t="n">
        <v>41.7</v>
      </c>
      <c r="L156" s="9" t="n">
        <v>0.041</v>
      </c>
      <c r="M156" s="9" t="n">
        <v>0.081</v>
      </c>
      <c r="N156" s="9" t="n">
        <v>0.132</v>
      </c>
      <c r="O156" s="2" t="s">
        <v>951</v>
      </c>
      <c r="P156" s="24" t="s">
        <v>952</v>
      </c>
      <c r="Q156" s="24"/>
      <c r="R156" s="2" t="s">
        <v>953</v>
      </c>
      <c r="S156" s="27" t="s">
        <v>954</v>
      </c>
      <c r="XEH156" s="0"/>
      <c r="XEI156" s="0"/>
    </row>
    <row r="157" s="2" customFormat="true" ht="69.75" hidden="false" customHeight="true" outlineLevel="0" collapsed="false">
      <c r="A157" s="24" t="s">
        <v>955</v>
      </c>
      <c r="B157" s="4" t="s">
        <v>956</v>
      </c>
      <c r="C157" s="25"/>
      <c r="D157" s="12"/>
      <c r="E157" s="10" t="n">
        <v>5650</v>
      </c>
      <c r="F157" s="10" t="n">
        <v>635</v>
      </c>
      <c r="G157" s="13" t="n">
        <v>8.45</v>
      </c>
      <c r="H157" s="14" t="n">
        <f aca="false">VlrBack</f>
        <v>0.375692307692308</v>
      </c>
      <c r="I157" s="14" t="n">
        <f aca="false">VrlBack</f>
        <v>0.056</v>
      </c>
      <c r="J157" s="15" t="n">
        <v>66.9</v>
      </c>
      <c r="K157" s="15" t="n">
        <v>38.9</v>
      </c>
      <c r="L157" s="9" t="n">
        <v>0.028</v>
      </c>
      <c r="M157" s="9" t="n">
        <v>0.081</v>
      </c>
      <c r="N157" s="9" t="n">
        <v>0.119</v>
      </c>
      <c r="O157" s="2" t="s">
        <v>957</v>
      </c>
      <c r="P157" s="24" t="s">
        <v>958</v>
      </c>
      <c r="Q157" s="24"/>
      <c r="R157" s="2" t="s">
        <v>959</v>
      </c>
      <c r="S157" s="27" t="s">
        <v>960</v>
      </c>
      <c r="XEH157" s="0"/>
      <c r="XEI157" s="0"/>
    </row>
    <row r="158" s="2" customFormat="true" ht="24" hidden="false" customHeight="true" outlineLevel="0" collapsed="false">
      <c r="A158" s="24" t="s">
        <v>961</v>
      </c>
      <c r="B158" s="4" t="s">
        <v>962</v>
      </c>
      <c r="C158" s="25"/>
      <c r="D158" s="26" t="n">
        <v>0.91</v>
      </c>
      <c r="E158" s="10" t="n">
        <v>7310</v>
      </c>
      <c r="F158" s="10" t="n">
        <v>815</v>
      </c>
      <c r="G158" s="13" t="n">
        <v>7.51</v>
      </c>
      <c r="H158" s="14" t="n">
        <f aca="false">VlrBack</f>
        <v>0.375692307692308</v>
      </c>
      <c r="I158" s="14" t="n">
        <f aca="false">VrlBack</f>
        <v>0.056</v>
      </c>
      <c r="J158" s="15" t="n">
        <v>70.3</v>
      </c>
      <c r="K158" s="15" t="n">
        <v>50.5</v>
      </c>
      <c r="L158" s="9" t="n">
        <v>0.042</v>
      </c>
      <c r="M158" s="9" t="n">
        <v>0.09</v>
      </c>
      <c r="N158" s="9" t="n">
        <v>0.132</v>
      </c>
      <c r="O158" s="2" t="s">
        <v>963</v>
      </c>
      <c r="P158" s="24" t="s">
        <v>964</v>
      </c>
      <c r="Q158" s="24"/>
      <c r="R158" s="2" t="s">
        <v>965</v>
      </c>
      <c r="S158" s="27" t="s">
        <v>966</v>
      </c>
      <c r="XEH158" s="0"/>
      <c r="XEI158" s="0"/>
    </row>
    <row r="159" s="2" customFormat="true" ht="46.5" hidden="false" customHeight="true" outlineLevel="0" collapsed="false">
      <c r="A159" s="24" t="s">
        <v>967</v>
      </c>
      <c r="B159" s="4" t="s">
        <v>968</v>
      </c>
      <c r="C159" s="25"/>
      <c r="D159" s="12" t="n">
        <v>0</v>
      </c>
      <c r="E159" s="10" t="n">
        <v>11640</v>
      </c>
      <c r="F159" s="10" t="n">
        <v>855</v>
      </c>
      <c r="G159" s="13" t="n">
        <v>11.64</v>
      </c>
      <c r="H159" s="14" t="n">
        <f aca="false">VlrBack</f>
        <v>0.375692307692308</v>
      </c>
      <c r="I159" s="14" t="n">
        <f aca="false">VrlBack</f>
        <v>0.056</v>
      </c>
      <c r="J159" s="15" t="n">
        <v>128.6</v>
      </c>
      <c r="K159" s="15" t="n">
        <v>64.7</v>
      </c>
      <c r="L159" s="9" t="n">
        <v>0.038</v>
      </c>
      <c r="M159" s="9" t="n">
        <v>0.056</v>
      </c>
      <c r="N159" s="9" t="n">
        <v>0.092</v>
      </c>
      <c r="O159" s="2" t="s">
        <v>969</v>
      </c>
      <c r="P159" s="24" t="s">
        <v>970</v>
      </c>
      <c r="Q159" s="24"/>
      <c r="R159" s="2" t="s">
        <v>971</v>
      </c>
      <c r="S159" s="27" t="s">
        <v>972</v>
      </c>
      <c r="XEH159" s="0"/>
      <c r="XEI159" s="0"/>
    </row>
    <row r="160" s="2" customFormat="true" ht="57.75" hidden="false" customHeight="true" outlineLevel="0" collapsed="false">
      <c r="A160" s="24" t="s">
        <v>973</v>
      </c>
      <c r="B160" s="4" t="s">
        <v>974</v>
      </c>
      <c r="C160" s="25"/>
      <c r="D160" s="12" t="n">
        <v>0</v>
      </c>
      <c r="E160" s="10" t="n">
        <v>5900</v>
      </c>
      <c r="F160" s="10" t="n">
        <v>825</v>
      </c>
      <c r="G160" s="13" t="n">
        <v>18.6</v>
      </c>
      <c r="H160" s="14" t="n">
        <f aca="false">VlrBack</f>
        <v>0.375692307692308</v>
      </c>
      <c r="I160" s="14" t="n">
        <f aca="false">VrlBack</f>
        <v>0.056</v>
      </c>
      <c r="J160" s="15" t="n">
        <v>140.3</v>
      </c>
      <c r="K160" s="15" t="n">
        <v>64.2</v>
      </c>
      <c r="L160" s="9" t="n">
        <v>0.045</v>
      </c>
      <c r="M160" s="9" t="n">
        <v>0.083</v>
      </c>
      <c r="N160" s="9" t="n">
        <v>0.121</v>
      </c>
      <c r="O160" s="2" t="s">
        <v>975</v>
      </c>
      <c r="P160" s="24" t="s">
        <v>976</v>
      </c>
      <c r="Q160" s="24"/>
      <c r="R160" s="2" t="s">
        <v>977</v>
      </c>
      <c r="S160" s="27" t="s">
        <v>978</v>
      </c>
      <c r="XEH160" s="0"/>
      <c r="XEI160" s="0"/>
    </row>
    <row r="161" s="2" customFormat="true" ht="15.75" hidden="false" customHeight="true" outlineLevel="0" collapsed="false">
      <c r="A161" s="24" t="s">
        <v>979</v>
      </c>
      <c r="B161" s="4" t="s">
        <v>980</v>
      </c>
      <c r="C161" s="28" t="s">
        <v>62</v>
      </c>
      <c r="D161" s="12"/>
      <c r="E161" s="10" t="n">
        <v>1910</v>
      </c>
      <c r="F161" s="10" t="n">
        <v>435</v>
      </c>
      <c r="G161" s="13" t="n">
        <v>11.59</v>
      </c>
      <c r="H161" s="14" t="n">
        <f aca="false">VlrTop</f>
        <v>0.385571428571429</v>
      </c>
      <c r="I161" s="14" t="n">
        <f aca="false">VrlTop</f>
        <v>0.048</v>
      </c>
      <c r="J161" s="15" t="n">
        <v>70.6</v>
      </c>
      <c r="K161" s="15" t="n">
        <v>41.8</v>
      </c>
      <c r="L161" s="9" t="n">
        <v>0.044</v>
      </c>
      <c r="M161" s="9" t="n">
        <v>0.092</v>
      </c>
      <c r="N161" s="9" t="n">
        <v>0.13</v>
      </c>
      <c r="O161" s="2" t="s">
        <v>981</v>
      </c>
      <c r="P161" s="24" t="s">
        <v>982</v>
      </c>
      <c r="Q161" s="24"/>
      <c r="R161" s="2" t="s">
        <v>983</v>
      </c>
      <c r="S161" s="27" t="s">
        <v>984</v>
      </c>
      <c r="XEH161" s="0"/>
      <c r="XEI161" s="0"/>
    </row>
    <row r="162" s="2" customFormat="true" ht="24" hidden="false" customHeight="true" outlineLevel="0" collapsed="false">
      <c r="A162" s="24" t="s">
        <v>985</v>
      </c>
      <c r="B162" s="4" t="s">
        <v>986</v>
      </c>
      <c r="C162" s="28" t="s">
        <v>62</v>
      </c>
      <c r="D162" s="26" t="n">
        <v>0</v>
      </c>
      <c r="E162" s="10" t="n">
        <v>7120</v>
      </c>
      <c r="F162" s="10" t="n">
        <v>705</v>
      </c>
      <c r="G162" s="13" t="n">
        <v>9.31</v>
      </c>
      <c r="H162" s="14" t="n">
        <f aca="false">VlrBack</f>
        <v>0.375692307692308</v>
      </c>
      <c r="I162" s="14" t="n">
        <f aca="false">VrlBack</f>
        <v>0.056</v>
      </c>
      <c r="J162" s="15" t="n">
        <v>104.8</v>
      </c>
      <c r="K162" s="15" t="n">
        <v>55.9</v>
      </c>
      <c r="L162" s="9" t="n">
        <v>0.04</v>
      </c>
      <c r="M162" s="9" t="n">
        <v>0.054</v>
      </c>
      <c r="N162" s="9" t="n">
        <v>0.097</v>
      </c>
      <c r="O162" s="2" t="s">
        <v>987</v>
      </c>
      <c r="P162" s="24" t="s">
        <v>988</v>
      </c>
      <c r="Q162" s="24"/>
      <c r="R162" s="2" t="s">
        <v>989</v>
      </c>
      <c r="S162" s="27" t="s">
        <v>990</v>
      </c>
      <c r="XEH162" s="0"/>
      <c r="XEI162" s="0"/>
    </row>
    <row r="163" s="2" customFormat="true" ht="24" hidden="false" customHeight="true" outlineLevel="0" collapsed="false">
      <c r="A163" s="24" t="s">
        <v>991</v>
      </c>
      <c r="B163" s="4" t="s">
        <v>992</v>
      </c>
      <c r="C163" s="25"/>
      <c r="D163" s="12"/>
      <c r="E163" s="10" t="n">
        <v>7310</v>
      </c>
      <c r="F163" s="10" t="n">
        <v>870</v>
      </c>
      <c r="G163" s="13" t="n">
        <v>15.73</v>
      </c>
      <c r="H163" s="14" t="n">
        <f aca="false">VlrBack</f>
        <v>0.375692307692308</v>
      </c>
      <c r="I163" s="14" t="n">
        <f aca="false">VrlBack</f>
        <v>0.056</v>
      </c>
      <c r="J163" s="15" t="n">
        <v>131.2</v>
      </c>
      <c r="K163" s="15" t="n">
        <v>75.1</v>
      </c>
      <c r="L163" s="9" t="n">
        <v>0.039</v>
      </c>
      <c r="M163" s="9" t="n">
        <v>0.066</v>
      </c>
      <c r="N163" s="9" t="n">
        <v>0.105</v>
      </c>
      <c r="O163" s="2" t="s">
        <v>993</v>
      </c>
      <c r="P163" s="24" t="s">
        <v>994</v>
      </c>
      <c r="Q163" s="24"/>
      <c r="R163" s="2" t="s">
        <v>995</v>
      </c>
      <c r="S163" s="27" t="s">
        <v>996</v>
      </c>
      <c r="XEH163" s="0"/>
      <c r="XEI163" s="0"/>
    </row>
    <row r="164" s="2" customFormat="true" ht="35.25" hidden="false" customHeight="true" outlineLevel="0" collapsed="false">
      <c r="A164" s="24" t="s">
        <v>997</v>
      </c>
      <c r="B164" s="4" t="s">
        <v>998</v>
      </c>
      <c r="C164" s="25"/>
      <c r="D164" s="12"/>
      <c r="E164" s="10" t="n">
        <v>7960</v>
      </c>
      <c r="F164" s="10" t="n">
        <v>835</v>
      </c>
      <c r="G164" s="13" t="n">
        <v>18.17</v>
      </c>
      <c r="H164" s="14" t="n">
        <f aca="false">VlrBack</f>
        <v>0.375692307692308</v>
      </c>
      <c r="I164" s="14" t="n">
        <f aca="false">VrlBack</f>
        <v>0.056</v>
      </c>
      <c r="J164" s="15" t="n">
        <v>127.5</v>
      </c>
      <c r="K164" s="15" t="n">
        <v>64.1</v>
      </c>
      <c r="L164" s="9" t="n">
        <v>0.046</v>
      </c>
      <c r="M164" s="9" t="n">
        <v>0.086</v>
      </c>
      <c r="N164" s="9" t="n">
        <v>0.123</v>
      </c>
      <c r="O164" s="2" t="s">
        <v>999</v>
      </c>
      <c r="P164" s="24" t="s">
        <v>1000</v>
      </c>
      <c r="Q164" s="24"/>
      <c r="R164" s="2" t="s">
        <v>1001</v>
      </c>
      <c r="S164" s="27" t="s">
        <v>1002</v>
      </c>
      <c r="XEH164" s="0"/>
      <c r="XEI164" s="0"/>
    </row>
    <row r="165" s="2" customFormat="true" ht="92.25" hidden="false" customHeight="true" outlineLevel="0" collapsed="false">
      <c r="A165" s="24" t="s">
        <v>1003</v>
      </c>
      <c r="B165" s="4" t="s">
        <v>1004</v>
      </c>
      <c r="C165" s="25"/>
      <c r="D165" s="12"/>
      <c r="E165" s="10" t="n">
        <v>8710</v>
      </c>
      <c r="F165" s="10" t="n">
        <v>865</v>
      </c>
      <c r="G165" s="13" t="n">
        <v>10.86</v>
      </c>
      <c r="H165" s="14" t="n">
        <f aca="false">VlrBack</f>
        <v>0.375692307692308</v>
      </c>
      <c r="I165" s="14" t="n">
        <f aca="false">VrlBack</f>
        <v>0.056</v>
      </c>
      <c r="J165" s="15" t="n">
        <v>122.4</v>
      </c>
      <c r="K165" s="15" t="n">
        <v>60.9</v>
      </c>
      <c r="L165" s="9" t="n">
        <v>0.028</v>
      </c>
      <c r="M165" s="9" t="n">
        <v>0.067</v>
      </c>
      <c r="N165" s="9" t="n">
        <v>0.099</v>
      </c>
      <c r="O165" s="2" t="s">
        <v>1005</v>
      </c>
      <c r="P165" s="24" t="s">
        <v>1006</v>
      </c>
      <c r="Q165" s="24"/>
      <c r="R165" s="2" t="s">
        <v>1007</v>
      </c>
      <c r="S165" s="27" t="s">
        <v>1008</v>
      </c>
      <c r="XEH165" s="0"/>
      <c r="XEI165" s="0"/>
    </row>
    <row r="166" s="2" customFormat="true" ht="103.5" hidden="false" customHeight="true" outlineLevel="0" collapsed="false">
      <c r="A166" s="24" t="s">
        <v>1009</v>
      </c>
      <c r="B166" s="4" t="s">
        <v>1010</v>
      </c>
      <c r="C166" s="25"/>
      <c r="D166" s="12"/>
      <c r="E166" s="10" t="n">
        <v>13080</v>
      </c>
      <c r="F166" s="10" t="n">
        <v>1030</v>
      </c>
      <c r="G166" s="13" t="n">
        <v>17.1</v>
      </c>
      <c r="H166" s="14" t="n">
        <f aca="false">VlrBack</f>
        <v>0.375692307692308</v>
      </c>
      <c r="I166" s="14" t="n">
        <f aca="false">VrlBack</f>
        <v>0.056</v>
      </c>
      <c r="J166" s="15" t="n">
        <v>166.2</v>
      </c>
      <c r="K166" s="15" t="n">
        <v>92.8</v>
      </c>
      <c r="L166" s="9" t="n">
        <v>0.042</v>
      </c>
      <c r="M166" s="9" t="n">
        <v>0.06</v>
      </c>
      <c r="N166" s="9" t="n">
        <v>0.107</v>
      </c>
      <c r="O166" s="2" t="s">
        <v>1011</v>
      </c>
      <c r="P166" s="24" t="s">
        <v>1012</v>
      </c>
      <c r="Q166" s="24"/>
      <c r="R166" s="2" t="s">
        <v>1013</v>
      </c>
      <c r="S166" s="27" t="s">
        <v>1014</v>
      </c>
      <c r="XEH166" s="0"/>
      <c r="XEI166" s="0"/>
    </row>
    <row r="167" s="2" customFormat="true" ht="35.25" hidden="false" customHeight="true" outlineLevel="0" collapsed="false">
      <c r="A167" s="24" t="s">
        <v>1015</v>
      </c>
      <c r="B167" s="4" t="s">
        <v>1016</v>
      </c>
      <c r="C167" s="25"/>
      <c r="D167" s="26" t="n">
        <v>0</v>
      </c>
      <c r="E167" s="10" t="n">
        <v>14590</v>
      </c>
      <c r="F167" s="10" t="n">
        <v>1115</v>
      </c>
      <c r="G167" s="13" t="n">
        <v>17.85</v>
      </c>
      <c r="H167" s="14" t="n">
        <f aca="false">VlrBack</f>
        <v>0.375692307692308</v>
      </c>
      <c r="I167" s="14" t="n">
        <f aca="false">VrlBack</f>
        <v>0.056</v>
      </c>
      <c r="J167" s="15" t="n">
        <v>187.8</v>
      </c>
      <c r="K167" s="15" t="n">
        <v>95.5</v>
      </c>
      <c r="L167" s="9" t="n">
        <v>0.05</v>
      </c>
      <c r="M167" s="9" t="n">
        <v>0.096</v>
      </c>
      <c r="N167" s="9" t="n">
        <v>0.147</v>
      </c>
      <c r="O167" s="2" t="s">
        <v>1017</v>
      </c>
      <c r="P167" s="24" t="s">
        <v>1018</v>
      </c>
      <c r="Q167" s="24"/>
      <c r="R167" s="2" t="s">
        <v>1019</v>
      </c>
      <c r="S167" s="27" t="s">
        <v>1020</v>
      </c>
      <c r="XEH167" s="0"/>
      <c r="XEI167" s="0"/>
    </row>
    <row r="168" s="2" customFormat="true" ht="46.5" hidden="false" customHeight="true" outlineLevel="0" collapsed="false">
      <c r="A168" s="24" t="s">
        <v>1021</v>
      </c>
      <c r="B168" s="4" t="s">
        <v>1022</v>
      </c>
      <c r="C168" s="25"/>
      <c r="D168" s="12"/>
      <c r="E168" s="10" t="n">
        <v>1330</v>
      </c>
      <c r="F168" s="10" t="n">
        <v>280</v>
      </c>
      <c r="G168" s="13" t="n">
        <v>4.38</v>
      </c>
      <c r="H168" s="14" t="n">
        <f aca="false">VlrTop</f>
        <v>0.385571428571429</v>
      </c>
      <c r="I168" s="14" t="n">
        <f aca="false">VrlTop</f>
        <v>0.048</v>
      </c>
      <c r="J168" s="15" t="n">
        <v>37.8</v>
      </c>
      <c r="K168" s="15" t="n">
        <v>20.7</v>
      </c>
      <c r="L168" s="9" t="n">
        <v>0.024</v>
      </c>
      <c r="M168" s="9" t="n">
        <v>0.039</v>
      </c>
      <c r="N168" s="9" t="n">
        <v>0.064</v>
      </c>
      <c r="O168" s="2" t="s">
        <v>1023</v>
      </c>
      <c r="P168" s="24" t="s">
        <v>1024</v>
      </c>
      <c r="Q168" s="24"/>
      <c r="R168" s="2" t="s">
        <v>1025</v>
      </c>
      <c r="S168" s="27" t="s">
        <v>1026</v>
      </c>
      <c r="XEH168" s="0"/>
      <c r="XEI168" s="0"/>
    </row>
    <row r="169" s="2" customFormat="true" ht="24" hidden="false" customHeight="true" outlineLevel="0" collapsed="false">
      <c r="A169" s="24" t="s">
        <v>1027</v>
      </c>
      <c r="B169" s="4" t="s">
        <v>1028</v>
      </c>
      <c r="C169" s="25"/>
      <c r="D169" s="12" t="n">
        <v>0</v>
      </c>
      <c r="E169" s="10" t="n">
        <v>7380</v>
      </c>
      <c r="F169" s="10" t="n">
        <v>690</v>
      </c>
      <c r="G169" s="13" t="n">
        <v>7.8</v>
      </c>
      <c r="H169" s="14" t="n">
        <f aca="false">VlrBack</f>
        <v>0.375692307692308</v>
      </c>
      <c r="I169" s="14" t="n">
        <f aca="false">VrlBack</f>
        <v>0.056</v>
      </c>
      <c r="J169" s="15" t="n">
        <v>83.3</v>
      </c>
      <c r="K169" s="15" t="n">
        <v>44.1</v>
      </c>
      <c r="L169" s="9" t="n">
        <v>0.039</v>
      </c>
      <c r="M169" s="9" t="n">
        <v>0.113</v>
      </c>
      <c r="N169" s="9" t="n">
        <v>0.138</v>
      </c>
      <c r="O169" s="2" t="s">
        <v>1029</v>
      </c>
      <c r="P169" s="24" t="s">
        <v>1030</v>
      </c>
      <c r="Q169" s="24"/>
      <c r="R169" s="2" t="s">
        <v>1031</v>
      </c>
      <c r="S169" s="27" t="s">
        <v>1032</v>
      </c>
      <c r="XEH169" s="0"/>
      <c r="XEI169" s="0"/>
    </row>
    <row r="170" s="2" customFormat="true" ht="24" hidden="false" customHeight="true" outlineLevel="0" collapsed="false">
      <c r="A170" s="24" t="s">
        <v>1033</v>
      </c>
      <c r="B170" s="4" t="s">
        <v>1034</v>
      </c>
      <c r="C170" s="25"/>
      <c r="D170" s="26" t="n">
        <v>0.78</v>
      </c>
      <c r="E170" s="10" t="n">
        <v>8100</v>
      </c>
      <c r="F170" s="10" t="n">
        <v>735</v>
      </c>
      <c r="G170" s="13" t="n">
        <v>11.93</v>
      </c>
      <c r="H170" s="14" t="n">
        <f aca="false">VlrBack</f>
        <v>0.375692307692308</v>
      </c>
      <c r="I170" s="14" t="n">
        <f aca="false">VrlBack</f>
        <v>0.056</v>
      </c>
      <c r="J170" s="15" t="n">
        <v>94.5</v>
      </c>
      <c r="K170" s="15" t="n">
        <v>54.1</v>
      </c>
      <c r="L170" s="9" t="n">
        <v>0.049</v>
      </c>
      <c r="M170" s="9" t="n">
        <v>0.089</v>
      </c>
      <c r="N170" s="9" t="n">
        <v>0.136</v>
      </c>
      <c r="O170" s="2" t="s">
        <v>1035</v>
      </c>
      <c r="P170" s="24" t="s">
        <v>1036</v>
      </c>
      <c r="Q170" s="24"/>
      <c r="R170" s="2" t="s">
        <v>1037</v>
      </c>
      <c r="S170" s="27" t="s">
        <v>1038</v>
      </c>
      <c r="XEH170" s="0"/>
      <c r="XEI170" s="0"/>
    </row>
    <row r="171" s="2" customFormat="true" ht="35.25" hidden="false" customHeight="true" outlineLevel="0" collapsed="false">
      <c r="A171" s="24" t="s">
        <v>1039</v>
      </c>
      <c r="B171" s="4" t="s">
        <v>1040</v>
      </c>
      <c r="C171" s="25"/>
      <c r="D171" s="26" t="n">
        <v>0</v>
      </c>
      <c r="E171" s="10" t="n">
        <v>10230</v>
      </c>
      <c r="F171" s="36" t="n">
        <v>835</v>
      </c>
      <c r="G171" s="13" t="n">
        <v>13.86</v>
      </c>
      <c r="H171" s="14" t="n">
        <f aca="false">VlrBack</f>
        <v>0.375692307692308</v>
      </c>
      <c r="I171" s="14" t="n">
        <f aca="false">VrlBack</f>
        <v>0.056</v>
      </c>
      <c r="J171" s="15" t="n">
        <v>122.1</v>
      </c>
      <c r="K171" s="15" t="n">
        <v>63.2</v>
      </c>
      <c r="L171" s="9" t="n">
        <v>0.079</v>
      </c>
      <c r="M171" s="9" t="n">
        <v>0.112</v>
      </c>
      <c r="N171" s="9" t="n">
        <v>0.191</v>
      </c>
      <c r="O171" s="2" t="s">
        <v>1041</v>
      </c>
      <c r="P171" s="24" t="s">
        <v>1042</v>
      </c>
      <c r="Q171" s="24"/>
      <c r="R171" s="2" t="s">
        <v>1043</v>
      </c>
      <c r="S171" s="27" t="s">
        <v>1044</v>
      </c>
      <c r="XEH171" s="0"/>
      <c r="XEI171" s="0"/>
    </row>
    <row r="172" s="2" customFormat="true" ht="81" hidden="false" customHeight="true" outlineLevel="0" collapsed="false">
      <c r="A172" s="24" t="s">
        <v>1045</v>
      </c>
      <c r="B172" s="4" t="s">
        <v>1046</v>
      </c>
      <c r="C172" s="25"/>
      <c r="D172" s="12" t="n">
        <v>0</v>
      </c>
      <c r="E172" s="10" t="n">
        <v>4250</v>
      </c>
      <c r="F172" s="10" t="n">
        <v>600</v>
      </c>
      <c r="G172" s="13" t="n">
        <v>7.81</v>
      </c>
      <c r="H172" s="14" t="n">
        <v>0.495</v>
      </c>
      <c r="I172" s="14" t="n">
        <v>0.052</v>
      </c>
      <c r="J172" s="15" t="n">
        <v>77</v>
      </c>
      <c r="K172" s="15" t="n">
        <v>45.2</v>
      </c>
      <c r="L172" s="9" t="n">
        <v>0.036</v>
      </c>
      <c r="M172" s="9" t="n">
        <v>0.075</v>
      </c>
      <c r="N172" s="9" t="n">
        <v>0.114</v>
      </c>
      <c r="O172" s="2" t="s">
        <v>1047</v>
      </c>
      <c r="P172" s="24" t="s">
        <v>1048</v>
      </c>
      <c r="Q172" s="24"/>
      <c r="R172" s="2" t="s">
        <v>1049</v>
      </c>
      <c r="S172" s="27" t="s">
        <v>1050</v>
      </c>
      <c r="XEH172" s="0"/>
      <c r="XEI172" s="0"/>
    </row>
    <row r="173" s="2" customFormat="true" ht="24" hidden="false" customHeight="true" outlineLevel="0" collapsed="false">
      <c r="A173" s="24" t="s">
        <v>1051</v>
      </c>
      <c r="B173" s="4" t="s">
        <v>1052</v>
      </c>
      <c r="C173" s="25"/>
      <c r="D173" s="12"/>
      <c r="E173" s="10" t="n">
        <v>6640</v>
      </c>
      <c r="F173" s="10" t="n">
        <v>800</v>
      </c>
      <c r="G173" s="13" t="n">
        <v>10.9</v>
      </c>
      <c r="H173" s="14" t="n">
        <f aca="false">VlrBack</f>
        <v>0.375692307692308</v>
      </c>
      <c r="I173" s="14" t="n">
        <f aca="false">VrlBack</f>
        <v>0.056</v>
      </c>
      <c r="J173" s="15" t="n">
        <v>85.5</v>
      </c>
      <c r="K173" s="15" t="n">
        <v>70</v>
      </c>
      <c r="L173" s="9" t="n">
        <v>0.04</v>
      </c>
      <c r="M173" s="9" t="n">
        <v>0.07</v>
      </c>
      <c r="N173" s="9" t="n">
        <v>0.12</v>
      </c>
      <c r="O173" s="2" t="s">
        <v>1053</v>
      </c>
      <c r="P173" s="24" t="s">
        <v>1054</v>
      </c>
      <c r="Q173" s="24"/>
      <c r="R173" s="2" t="s">
        <v>1055</v>
      </c>
      <c r="S173" s="27" t="s">
        <v>1056</v>
      </c>
      <c r="XEH173" s="0"/>
      <c r="XEI173" s="0"/>
    </row>
    <row r="174" s="2" customFormat="true" ht="15.75" hidden="false" customHeight="true" outlineLevel="0" collapsed="false">
      <c r="A174" s="24" t="s">
        <v>1057</v>
      </c>
      <c r="B174" s="4" t="s">
        <v>1058</v>
      </c>
      <c r="C174" s="25"/>
      <c r="D174" s="26" t="n">
        <v>0.76</v>
      </c>
      <c r="E174" s="10" t="n">
        <v>9520</v>
      </c>
      <c r="F174" s="36" t="n">
        <v>835</v>
      </c>
      <c r="G174" s="13" t="n">
        <v>15.59</v>
      </c>
      <c r="H174" s="14" t="n">
        <f aca="false">VlrBack</f>
        <v>0.375692307692308</v>
      </c>
      <c r="I174" s="14" t="n">
        <f aca="false">VrlBack</f>
        <v>0.056</v>
      </c>
      <c r="J174" s="15" t="n">
        <v>138.6</v>
      </c>
      <c r="K174" s="15" t="n">
        <v>63.4</v>
      </c>
      <c r="L174" s="9" t="n">
        <v>0.072</v>
      </c>
      <c r="M174" s="9" t="n">
        <v>0.115</v>
      </c>
      <c r="N174" s="9" t="n">
        <v>0.179</v>
      </c>
      <c r="O174" s="2" t="s">
        <v>1059</v>
      </c>
      <c r="P174" s="24" t="s">
        <v>1060</v>
      </c>
      <c r="Q174" s="24"/>
      <c r="R174" s="2" t="s">
        <v>1061</v>
      </c>
      <c r="S174" s="27" t="s">
        <v>1062</v>
      </c>
      <c r="XEH174" s="0"/>
      <c r="XEI174" s="0"/>
    </row>
    <row r="175" s="2" customFormat="true" ht="24" hidden="false" customHeight="true" outlineLevel="0" collapsed="false">
      <c r="A175" s="24" t="s">
        <v>1063</v>
      </c>
      <c r="B175" s="4" t="s">
        <v>1064</v>
      </c>
      <c r="C175" s="25"/>
      <c r="D175" s="12" t="n">
        <v>0</v>
      </c>
      <c r="E175" s="10" t="n">
        <v>6900</v>
      </c>
      <c r="F175" s="10" t="n">
        <v>795</v>
      </c>
      <c r="G175" s="13" t="n">
        <v>10.19</v>
      </c>
      <c r="H175" s="14" t="n">
        <f aca="false">VlrBack</f>
        <v>0.375692307692308</v>
      </c>
      <c r="I175" s="14" t="n">
        <f aca="false">VrlBack</f>
        <v>0.056</v>
      </c>
      <c r="J175" s="15" t="n">
        <v>88.4</v>
      </c>
      <c r="K175" s="15"/>
      <c r="L175" s="9"/>
      <c r="M175" s="9"/>
      <c r="N175" s="9"/>
      <c r="O175" s="2" t="s">
        <v>1065</v>
      </c>
      <c r="P175" s="24" t="s">
        <v>1066</v>
      </c>
      <c r="Q175" s="24"/>
      <c r="R175" s="2" t="s">
        <v>1067</v>
      </c>
      <c r="S175" s="27" t="s">
        <v>1068</v>
      </c>
      <c r="XEH175" s="0"/>
      <c r="XEI175" s="0"/>
    </row>
    <row r="176" s="2" customFormat="true" ht="15.75" hidden="false" customHeight="true" outlineLevel="0" collapsed="false">
      <c r="A176" s="24" t="s">
        <v>1069</v>
      </c>
      <c r="B176" s="4" t="s">
        <v>1070</v>
      </c>
      <c r="C176" s="28" t="s">
        <v>62</v>
      </c>
      <c r="D176" s="12"/>
      <c r="E176" s="10" t="n">
        <v>2050</v>
      </c>
      <c r="F176" s="10" t="n">
        <v>450</v>
      </c>
      <c r="G176" s="13" t="n">
        <v>8.9</v>
      </c>
      <c r="H176" s="14" t="n">
        <v>0.337</v>
      </c>
      <c r="I176" s="14" t="n">
        <v>0.046</v>
      </c>
      <c r="J176" s="15" t="n">
        <v>64.8</v>
      </c>
      <c r="K176" s="15" t="n">
        <v>36.7</v>
      </c>
      <c r="L176" s="9" t="n">
        <v>0.039</v>
      </c>
      <c r="M176" s="9" t="n">
        <v>0.062</v>
      </c>
      <c r="N176" s="9" t="n">
        <v>0.097</v>
      </c>
      <c r="O176" s="2" t="s">
        <v>1071</v>
      </c>
      <c r="P176" s="24" t="s">
        <v>1072</v>
      </c>
      <c r="Q176" s="24"/>
      <c r="R176" s="2" t="s">
        <v>1073</v>
      </c>
      <c r="S176" s="27" t="s">
        <v>1074</v>
      </c>
      <c r="XEH176" s="0"/>
      <c r="XEI176" s="0"/>
    </row>
    <row r="177" s="2" customFormat="true" ht="46.5" hidden="false" customHeight="true" outlineLevel="0" collapsed="false">
      <c r="A177" s="24" t="s">
        <v>1075</v>
      </c>
      <c r="B177" s="4" t="s">
        <v>1076</v>
      </c>
      <c r="C177" s="25"/>
      <c r="D177" s="12" t="n">
        <v>0.58</v>
      </c>
      <c r="E177" s="10" t="n">
        <v>2400</v>
      </c>
      <c r="F177" s="10" t="n">
        <v>455</v>
      </c>
      <c r="G177" s="13" t="n">
        <v>10.9</v>
      </c>
      <c r="H177" s="14" t="n">
        <v>0.318</v>
      </c>
      <c r="I177" s="14" t="n">
        <v>0.03</v>
      </c>
      <c r="J177" s="15" t="n">
        <v>69.7</v>
      </c>
      <c r="K177" s="15" t="n">
        <v>38.2</v>
      </c>
      <c r="L177" s="9" t="n">
        <v>0.046</v>
      </c>
      <c r="M177" s="9" t="n">
        <v>0.082</v>
      </c>
      <c r="N177" s="9" t="n">
        <v>0.127</v>
      </c>
      <c r="O177" s="2" t="s">
        <v>1077</v>
      </c>
      <c r="P177" s="24" t="s">
        <v>1078</v>
      </c>
      <c r="Q177" s="24"/>
      <c r="R177" s="2" t="s">
        <v>1079</v>
      </c>
      <c r="S177" s="27" t="s">
        <v>1080</v>
      </c>
      <c r="XEH177" s="0"/>
      <c r="XEI177" s="0"/>
    </row>
    <row r="178" s="2" customFormat="true" ht="46.5" hidden="false" customHeight="true" outlineLevel="0" collapsed="false">
      <c r="A178" s="24" t="s">
        <v>1081</v>
      </c>
      <c r="B178" s="4" t="s">
        <v>1082</v>
      </c>
      <c r="C178" s="28" t="s">
        <v>62</v>
      </c>
      <c r="D178" s="12"/>
      <c r="E178" s="10" t="n">
        <v>2620</v>
      </c>
      <c r="F178" s="10" t="n">
        <v>465</v>
      </c>
      <c r="G178" s="13" t="n">
        <v>11.35</v>
      </c>
      <c r="H178" s="14" t="n">
        <v>0.378</v>
      </c>
      <c r="I178" s="14" t="n">
        <v>0.046</v>
      </c>
      <c r="J178" s="15" t="n">
        <v>84.8</v>
      </c>
      <c r="K178" s="15" t="n">
        <v>41.9</v>
      </c>
      <c r="L178" s="9" t="n">
        <v>0.046</v>
      </c>
      <c r="M178" s="9" t="n">
        <v>0.069</v>
      </c>
      <c r="N178" s="9" t="n">
        <v>0.101</v>
      </c>
      <c r="O178" s="2" t="s">
        <v>1083</v>
      </c>
      <c r="P178" s="24" t="s">
        <v>1084</v>
      </c>
      <c r="Q178" s="24"/>
      <c r="R178" s="2" t="s">
        <v>1085</v>
      </c>
      <c r="S178" s="27" t="s">
        <v>1086</v>
      </c>
      <c r="XEH178" s="0"/>
      <c r="XEI178" s="0"/>
    </row>
    <row r="179" s="2" customFormat="true" ht="69.75" hidden="false" customHeight="true" outlineLevel="0" collapsed="false">
      <c r="A179" s="24" t="s">
        <v>1087</v>
      </c>
      <c r="B179" s="4" t="s">
        <v>1088</v>
      </c>
      <c r="C179" s="25"/>
      <c r="D179" s="12"/>
      <c r="E179" s="10" t="n">
        <v>3170</v>
      </c>
      <c r="F179" s="10" t="n">
        <v>465</v>
      </c>
      <c r="G179" s="13" t="n">
        <v>7.81</v>
      </c>
      <c r="H179" s="14" t="n">
        <f aca="false">VlrTop</f>
        <v>0.385571428571429</v>
      </c>
      <c r="I179" s="14" t="n">
        <f aca="false">VrlTop</f>
        <v>0.048</v>
      </c>
      <c r="J179" s="15" t="n">
        <v>70.5</v>
      </c>
      <c r="K179" s="15" t="n">
        <v>40.4</v>
      </c>
      <c r="L179" s="9" t="n">
        <v>0.031</v>
      </c>
      <c r="M179" s="9" t="n">
        <v>0.051</v>
      </c>
      <c r="N179" s="9" t="n">
        <v>0.086</v>
      </c>
      <c r="O179" s="2" t="s">
        <v>1089</v>
      </c>
      <c r="P179" s="24" t="s">
        <v>1090</v>
      </c>
      <c r="Q179" s="24"/>
      <c r="R179" s="2" t="s">
        <v>1091</v>
      </c>
      <c r="S179" s="27" t="s">
        <v>1092</v>
      </c>
      <c r="XEH179" s="0"/>
      <c r="XEI179" s="0"/>
    </row>
    <row r="180" s="2" customFormat="true" ht="35.25" hidden="false" customHeight="true" outlineLevel="0" collapsed="false">
      <c r="A180" s="24" t="s">
        <v>1093</v>
      </c>
      <c r="B180" s="4" t="s">
        <v>1094</v>
      </c>
      <c r="C180" s="25"/>
      <c r="D180" s="12" t="n">
        <v>0</v>
      </c>
      <c r="E180" s="10" t="n">
        <v>11190</v>
      </c>
      <c r="F180" s="10" t="n">
        <v>905</v>
      </c>
      <c r="G180" s="13" t="n">
        <v>20.26</v>
      </c>
      <c r="H180" s="14" t="n">
        <f aca="false">VlrBack</f>
        <v>0.375692307692308</v>
      </c>
      <c r="I180" s="14" t="n">
        <f aca="false">VrlBack</f>
        <v>0.056</v>
      </c>
      <c r="J180" s="15" t="n">
        <v>151.7</v>
      </c>
      <c r="K180" s="15" t="n">
        <v>83.7</v>
      </c>
      <c r="L180" s="9" t="n">
        <v>0.038</v>
      </c>
      <c r="M180" s="9" t="n">
        <v>0.064</v>
      </c>
      <c r="N180" s="9" t="n">
        <v>0.106</v>
      </c>
      <c r="O180" s="2" t="s">
        <v>1095</v>
      </c>
      <c r="P180" s="24" t="s">
        <v>1096</v>
      </c>
      <c r="Q180" s="24"/>
      <c r="R180" s="2" t="s">
        <v>1097</v>
      </c>
      <c r="S180" s="27" t="s">
        <v>1098</v>
      </c>
      <c r="XEH180" s="0"/>
      <c r="XEI180" s="0"/>
    </row>
    <row r="181" s="2" customFormat="true" ht="24" hidden="false" customHeight="true" outlineLevel="0" collapsed="false">
      <c r="A181" s="24" t="s">
        <v>1099</v>
      </c>
      <c r="B181" s="4" t="s">
        <v>1100</v>
      </c>
      <c r="C181" s="25"/>
      <c r="D181" s="12"/>
      <c r="E181" s="10" t="n">
        <v>1560</v>
      </c>
      <c r="F181" s="10" t="n">
        <v>415</v>
      </c>
      <c r="G181" s="13" t="n">
        <v>8.15</v>
      </c>
      <c r="H181" s="14" t="n">
        <v>0.498</v>
      </c>
      <c r="I181" s="14" t="n">
        <v>0.054</v>
      </c>
      <c r="J181" s="15" t="n">
        <v>57.9</v>
      </c>
      <c r="K181" s="15" t="n">
        <v>29.3</v>
      </c>
      <c r="L181" s="9" t="n">
        <v>0.035</v>
      </c>
      <c r="M181" s="9" t="n">
        <v>0.067</v>
      </c>
      <c r="N181" s="9" t="n">
        <v>0.115</v>
      </c>
      <c r="O181" s="2" t="s">
        <v>1101</v>
      </c>
      <c r="P181" s="24" t="s">
        <v>1102</v>
      </c>
      <c r="Q181" s="24"/>
      <c r="R181" s="2" t="s">
        <v>1103</v>
      </c>
      <c r="S181" s="27" t="s">
        <v>1104</v>
      </c>
      <c r="XEH181" s="0"/>
      <c r="XEI181" s="0"/>
    </row>
    <row r="182" s="2" customFormat="true" ht="35.25" hidden="false" customHeight="true" outlineLevel="0" collapsed="false">
      <c r="A182" s="24" t="s">
        <v>1105</v>
      </c>
      <c r="B182" s="4" t="s">
        <v>1106</v>
      </c>
      <c r="C182" s="25"/>
      <c r="D182" s="26" t="n">
        <v>0</v>
      </c>
      <c r="E182" s="10" t="n">
        <v>3620</v>
      </c>
      <c r="F182" s="10" t="n">
        <v>560</v>
      </c>
      <c r="G182" s="13" t="n">
        <v>10.83</v>
      </c>
      <c r="H182" s="14" t="n">
        <f aca="false">VlrBack</f>
        <v>0.375692307692308</v>
      </c>
      <c r="I182" s="14" t="n">
        <f aca="false">VrlBack</f>
        <v>0.056</v>
      </c>
      <c r="J182" s="15" t="n">
        <v>81</v>
      </c>
      <c r="K182" s="15" t="n">
        <v>47</v>
      </c>
      <c r="L182" s="9" t="n">
        <v>0.061</v>
      </c>
      <c r="M182" s="9" t="n">
        <v>0.088</v>
      </c>
      <c r="N182" s="9" t="n">
        <v>0.15</v>
      </c>
      <c r="O182" s="2" t="s">
        <v>1107</v>
      </c>
      <c r="P182" s="24" t="s">
        <v>1108</v>
      </c>
      <c r="Q182" s="24"/>
      <c r="R182" s="2" t="s">
        <v>1109</v>
      </c>
      <c r="S182" s="27" t="s">
        <v>1110</v>
      </c>
      <c r="XEH182" s="0"/>
      <c r="XEI182" s="0"/>
    </row>
    <row r="183" s="2" customFormat="true" ht="35.25" hidden="false" customHeight="true" outlineLevel="0" collapsed="false">
      <c r="A183" s="24" t="s">
        <v>1111</v>
      </c>
      <c r="B183" s="4" t="s">
        <v>1112</v>
      </c>
      <c r="C183" s="25"/>
      <c r="D183" s="26"/>
      <c r="E183" s="10" t="n">
        <v>7380</v>
      </c>
      <c r="F183" s="10" t="n">
        <v>685</v>
      </c>
      <c r="G183" s="13" t="n">
        <v>11.42</v>
      </c>
      <c r="H183" s="14" t="n">
        <f aca="false">VlrBack</f>
        <v>0.375692307692308</v>
      </c>
      <c r="I183" s="14" t="n">
        <f aca="false">VrlBack</f>
        <v>0.056</v>
      </c>
      <c r="J183" s="15" t="n">
        <v>100.5</v>
      </c>
      <c r="K183" s="15" t="n">
        <v>68.6</v>
      </c>
      <c r="L183" s="9" t="n">
        <v>0.045</v>
      </c>
      <c r="M183" s="9" t="n">
        <v>0.086</v>
      </c>
      <c r="N183" s="9" t="n">
        <v>0.131</v>
      </c>
      <c r="O183" s="2" t="s">
        <v>1113</v>
      </c>
      <c r="P183" s="24" t="s">
        <v>1114</v>
      </c>
      <c r="Q183" s="24"/>
      <c r="R183" s="2" t="s">
        <v>1115</v>
      </c>
      <c r="S183" s="27" t="s">
        <v>1116</v>
      </c>
      <c r="XEH183" s="0"/>
      <c r="XEI183" s="0"/>
    </row>
    <row r="184" s="2" customFormat="true" ht="35.25" hidden="false" customHeight="true" outlineLevel="0" collapsed="false">
      <c r="A184" s="24" t="s">
        <v>1117</v>
      </c>
      <c r="B184" s="4" t="s">
        <v>1118</v>
      </c>
      <c r="C184" s="28" t="s">
        <v>62</v>
      </c>
      <c r="D184" s="30"/>
      <c r="E184" s="10" t="n">
        <v>3150</v>
      </c>
      <c r="F184" s="10" t="n">
        <v>515</v>
      </c>
      <c r="G184" s="13" t="n">
        <v>10.06</v>
      </c>
      <c r="H184" s="14" t="n">
        <f aca="false">VlrBack</f>
        <v>0.375692307692308</v>
      </c>
      <c r="I184" s="14" t="n">
        <f aca="false">VrlBack</f>
        <v>0.056</v>
      </c>
      <c r="J184" s="15" t="n">
        <v>79.2</v>
      </c>
      <c r="K184" s="15" t="n">
        <v>41.6</v>
      </c>
      <c r="L184" s="9" t="n">
        <v>0.034</v>
      </c>
      <c r="M184" s="9" t="n">
        <v>0.067</v>
      </c>
      <c r="N184" s="9" t="n">
        <v>0.107</v>
      </c>
      <c r="O184" s="2" t="s">
        <v>1119</v>
      </c>
      <c r="P184" s="24" t="s">
        <v>1120</v>
      </c>
      <c r="Q184" s="24"/>
      <c r="R184" s="2" t="s">
        <v>1121</v>
      </c>
      <c r="S184" s="27" t="s">
        <v>1122</v>
      </c>
      <c r="XEH184" s="0"/>
      <c r="XEI184" s="0"/>
    </row>
    <row r="185" s="2" customFormat="true" ht="35.25" hidden="false" customHeight="true" outlineLevel="0" collapsed="false">
      <c r="A185" s="24" t="s">
        <v>1123</v>
      </c>
      <c r="B185" s="4" t="s">
        <v>1124</v>
      </c>
      <c r="C185" s="25"/>
      <c r="D185" s="12"/>
      <c r="E185" s="10" t="n">
        <v>2620</v>
      </c>
      <c r="F185" s="10" t="n">
        <v>450</v>
      </c>
      <c r="G185" s="13" t="n">
        <v>9.52</v>
      </c>
      <c r="H185" s="14" t="n">
        <f aca="false">VlrTop</f>
        <v>0.385571428571429</v>
      </c>
      <c r="I185" s="14" t="n">
        <f aca="false">VrlTop</f>
        <v>0.048</v>
      </c>
      <c r="J185" s="15" t="n">
        <v>67.6</v>
      </c>
      <c r="K185" s="15" t="n">
        <v>40.1</v>
      </c>
      <c r="L185" s="9" t="n">
        <v>0.044</v>
      </c>
      <c r="M185" s="9" t="n">
        <v>0.073</v>
      </c>
      <c r="N185" s="9" t="n">
        <v>0.126</v>
      </c>
      <c r="O185" s="2" t="s">
        <v>92</v>
      </c>
      <c r="P185" s="24" t="s">
        <v>1125</v>
      </c>
      <c r="Q185" s="24"/>
      <c r="R185" s="2" t="s">
        <v>1126</v>
      </c>
      <c r="S185" s="27" t="s">
        <v>1127</v>
      </c>
      <c r="XEH185" s="0"/>
      <c r="XEI185" s="0"/>
    </row>
    <row r="186" s="2" customFormat="true" ht="46.5" hidden="false" customHeight="true" outlineLevel="0" collapsed="false">
      <c r="A186" s="24" t="s">
        <v>1128</v>
      </c>
      <c r="B186" s="4" t="s">
        <v>1129</v>
      </c>
      <c r="C186" s="25"/>
      <c r="D186" s="12"/>
      <c r="E186" s="10" t="n">
        <v>8400</v>
      </c>
      <c r="F186" s="10" t="n">
        <v>725</v>
      </c>
      <c r="G186" s="13" t="n">
        <v>19</v>
      </c>
      <c r="H186" s="14" t="n">
        <f aca="false">VlrBack</f>
        <v>0.375692307692308</v>
      </c>
      <c r="I186" s="14" t="n">
        <f aca="false">VrlBack</f>
        <v>0.056</v>
      </c>
      <c r="J186" s="15" t="n">
        <v>143</v>
      </c>
      <c r="K186" s="15" t="n">
        <v>70</v>
      </c>
      <c r="L186" s="9" t="n">
        <v>0.035</v>
      </c>
      <c r="M186" s="9" t="n">
        <v>0.093</v>
      </c>
      <c r="N186" s="9" t="n">
        <v>0.13</v>
      </c>
      <c r="O186" s="2" t="s">
        <v>1130</v>
      </c>
      <c r="P186" s="24" t="s">
        <v>1131</v>
      </c>
      <c r="Q186" s="24"/>
      <c r="R186" s="2" t="s">
        <v>1132</v>
      </c>
      <c r="S186" s="27" t="s">
        <v>1133</v>
      </c>
      <c r="XEH186" s="0"/>
      <c r="XEI186" s="0"/>
    </row>
    <row r="187" s="2" customFormat="true" ht="35.25" hidden="false" customHeight="true" outlineLevel="0" collapsed="false">
      <c r="A187" s="24" t="s">
        <v>1134</v>
      </c>
      <c r="B187" s="4" t="s">
        <v>1135</v>
      </c>
      <c r="C187" s="25"/>
      <c r="D187" s="26" t="n">
        <v>0.74</v>
      </c>
      <c r="E187" s="10" t="n">
        <v>3830</v>
      </c>
      <c r="F187" s="10" t="n">
        <v>600</v>
      </c>
      <c r="G187" s="13" t="n">
        <v>10.28</v>
      </c>
      <c r="H187" s="14" t="n">
        <f aca="false">VlrBack</f>
        <v>0.375692307692308</v>
      </c>
      <c r="I187" s="14" t="n">
        <f aca="false">VrlBack</f>
        <v>0.056</v>
      </c>
      <c r="J187" s="15" t="n">
        <v>89.7</v>
      </c>
      <c r="K187" s="15" t="n">
        <v>43.9</v>
      </c>
      <c r="L187" s="9" t="n">
        <v>0.049</v>
      </c>
      <c r="M187" s="9" t="n">
        <v>0.089</v>
      </c>
      <c r="N187" s="9" t="n">
        <v>0.138</v>
      </c>
      <c r="O187" s="2" t="s">
        <v>1136</v>
      </c>
      <c r="P187" s="24" t="s">
        <v>1137</v>
      </c>
      <c r="Q187" s="24"/>
      <c r="R187" s="2" t="s">
        <v>1138</v>
      </c>
      <c r="S187" s="27" t="s">
        <v>1139</v>
      </c>
      <c r="XEH187" s="0"/>
      <c r="XEI187" s="0"/>
    </row>
    <row r="188" s="2" customFormat="true" ht="15.75" hidden="false" customHeight="true" outlineLevel="0" collapsed="false">
      <c r="A188" s="24" t="s">
        <v>1140</v>
      </c>
      <c r="B188" s="4" t="s">
        <v>1141</v>
      </c>
      <c r="C188" s="25"/>
      <c r="D188" s="26" t="n">
        <v>0.59</v>
      </c>
      <c r="E188" s="10" t="n">
        <v>4230</v>
      </c>
      <c r="F188" s="10" t="n">
        <v>610</v>
      </c>
      <c r="G188" s="13" t="n">
        <v>11.31</v>
      </c>
      <c r="H188" s="14" t="n">
        <v>0.434</v>
      </c>
      <c r="I188" s="14" t="n">
        <v>0.063</v>
      </c>
      <c r="J188" s="15" t="n">
        <v>92.4</v>
      </c>
      <c r="K188" s="15" t="n">
        <v>45.1</v>
      </c>
      <c r="L188" s="9" t="n">
        <v>0.04</v>
      </c>
      <c r="M188" s="9" t="n">
        <v>0.082</v>
      </c>
      <c r="N188" s="9" t="n">
        <v>0.126</v>
      </c>
      <c r="O188" s="2" t="s">
        <v>1142</v>
      </c>
      <c r="P188" s="24" t="s">
        <v>1143</v>
      </c>
      <c r="Q188" s="24"/>
      <c r="R188" s="2" t="s">
        <v>1144</v>
      </c>
      <c r="S188" s="27" t="s">
        <v>1145</v>
      </c>
      <c r="XEH188" s="0"/>
      <c r="XEI188" s="0"/>
    </row>
    <row r="189" s="2" customFormat="true" ht="35.25" hidden="false" customHeight="true" outlineLevel="0" collapsed="false">
      <c r="A189" s="24" t="s">
        <v>1146</v>
      </c>
      <c r="B189" s="4" t="s">
        <v>1147</v>
      </c>
      <c r="C189" s="25"/>
      <c r="D189" s="26" t="n">
        <v>0.86</v>
      </c>
      <c r="E189" s="10" t="n">
        <v>5430</v>
      </c>
      <c r="F189" s="10" t="n">
        <v>700</v>
      </c>
      <c r="G189" s="13" t="n">
        <v>12.14</v>
      </c>
      <c r="H189" s="14" t="n">
        <v>0.35</v>
      </c>
      <c r="I189" s="14" t="n">
        <v>0.064</v>
      </c>
      <c r="J189" s="15" t="n">
        <v>99.2</v>
      </c>
      <c r="K189" s="15" t="n">
        <v>46.8</v>
      </c>
      <c r="L189" s="9" t="n">
        <v>0.04</v>
      </c>
      <c r="M189" s="9" t="n">
        <v>0.086</v>
      </c>
      <c r="N189" s="9" t="n">
        <v>0.137</v>
      </c>
      <c r="O189" s="2" t="s">
        <v>1148</v>
      </c>
      <c r="P189" s="24" t="s">
        <v>1149</v>
      </c>
      <c r="Q189" s="24"/>
      <c r="R189" s="2" t="s">
        <v>1150</v>
      </c>
      <c r="S189" s="27" t="s">
        <v>1151</v>
      </c>
      <c r="XEH189" s="0"/>
      <c r="XEI189" s="0"/>
    </row>
    <row r="190" s="2" customFormat="true" ht="24" hidden="false" customHeight="true" outlineLevel="0" collapsed="false">
      <c r="A190" s="24" t="s">
        <v>1152</v>
      </c>
      <c r="B190" s="4" t="s">
        <v>1153</v>
      </c>
      <c r="C190" s="28" t="s">
        <v>62</v>
      </c>
      <c r="D190" s="12"/>
      <c r="E190" s="10" t="n">
        <v>2490</v>
      </c>
      <c r="F190" s="10" t="n">
        <v>545</v>
      </c>
      <c r="G190" s="13" t="n">
        <v>11.24</v>
      </c>
      <c r="H190" s="14" t="n">
        <f aca="false">VlrBack</f>
        <v>0.375692307692308</v>
      </c>
      <c r="I190" s="14" t="n">
        <f aca="false">VrlBack</f>
        <v>0.056</v>
      </c>
      <c r="J190" s="15" t="n">
        <v>75.9</v>
      </c>
      <c r="K190" s="15" t="n">
        <v>41.9</v>
      </c>
      <c r="L190" s="9" t="n">
        <v>0.038</v>
      </c>
      <c r="M190" s="9" t="n">
        <v>0.072</v>
      </c>
      <c r="N190" s="9" t="n">
        <v>0.113</v>
      </c>
      <c r="O190" s="2" t="s">
        <v>1154</v>
      </c>
      <c r="P190" s="24" t="s">
        <v>1155</v>
      </c>
      <c r="Q190" s="24"/>
      <c r="R190" s="2" t="s">
        <v>1156</v>
      </c>
      <c r="S190" s="27" t="s">
        <v>1157</v>
      </c>
      <c r="XEH190" s="0"/>
      <c r="XEI190" s="0"/>
    </row>
    <row r="191" s="2" customFormat="true" ht="35.25" hidden="false" customHeight="true" outlineLevel="0" collapsed="false">
      <c r="A191" s="24" t="s">
        <v>1158</v>
      </c>
      <c r="B191" s="4" t="s">
        <v>1159</v>
      </c>
      <c r="C191" s="28" t="s">
        <v>62</v>
      </c>
      <c r="D191" s="26" t="n">
        <v>0</v>
      </c>
      <c r="E191" s="10" t="n">
        <v>2180</v>
      </c>
      <c r="F191" s="10" t="n">
        <v>435</v>
      </c>
      <c r="G191" s="13" t="n">
        <v>10.76</v>
      </c>
      <c r="H191" s="14" t="n">
        <v>0.372</v>
      </c>
      <c r="I191" s="14" t="n">
        <v>0.04</v>
      </c>
      <c r="J191" s="15" t="n">
        <v>66</v>
      </c>
      <c r="K191" s="15" t="n">
        <v>33.6</v>
      </c>
      <c r="L191" s="9" t="n">
        <v>0.038</v>
      </c>
      <c r="M191" s="9" t="n">
        <v>0.078</v>
      </c>
      <c r="N191" s="9" t="n">
        <v>0.118</v>
      </c>
      <c r="O191" s="2" t="s">
        <v>1160</v>
      </c>
      <c r="P191" s="24" t="s">
        <v>1161</v>
      </c>
      <c r="Q191" s="24"/>
      <c r="R191" s="2" t="s">
        <v>1162</v>
      </c>
      <c r="S191" s="27" t="s">
        <v>1163</v>
      </c>
      <c r="XEH191" s="0"/>
      <c r="XEI191" s="0"/>
    </row>
    <row r="192" s="2" customFormat="true" ht="35.25" hidden="false" customHeight="true" outlineLevel="0" collapsed="false">
      <c r="A192" s="24" t="s">
        <v>1164</v>
      </c>
      <c r="B192" s="4" t="s">
        <v>1165</v>
      </c>
      <c r="C192" s="25"/>
      <c r="D192" s="12"/>
      <c r="E192" s="10" t="n">
        <v>5380</v>
      </c>
      <c r="F192" s="10" t="n">
        <v>640</v>
      </c>
      <c r="G192" s="13" t="n">
        <v>10.32</v>
      </c>
      <c r="H192" s="14" t="n">
        <f aca="false">VlrBack</f>
        <v>0.375692307692308</v>
      </c>
      <c r="I192" s="14" t="n">
        <f aca="false">VrlBack</f>
        <v>0.056</v>
      </c>
      <c r="J192" s="15" t="n">
        <v>98.7</v>
      </c>
      <c r="K192" s="15" t="n">
        <v>46.2</v>
      </c>
      <c r="L192" s="9" t="n">
        <v>0.028</v>
      </c>
      <c r="M192" s="9" t="n">
        <v>0.082</v>
      </c>
      <c r="N192" s="9" t="n">
        <v>0.106</v>
      </c>
      <c r="O192" s="2" t="s">
        <v>1166</v>
      </c>
      <c r="P192" s="24" t="s">
        <v>1167</v>
      </c>
      <c r="Q192" s="24"/>
      <c r="R192" s="2" t="s">
        <v>1168</v>
      </c>
      <c r="S192" s="27" t="s">
        <v>1169</v>
      </c>
      <c r="XEH192" s="0"/>
      <c r="XEI192" s="0"/>
    </row>
    <row r="193" s="2" customFormat="true" ht="35.25" hidden="false" customHeight="true" outlineLevel="0" collapsed="false">
      <c r="A193" s="24" t="s">
        <v>1170</v>
      </c>
      <c r="B193" s="4" t="s">
        <v>1171</v>
      </c>
      <c r="C193" s="25"/>
      <c r="D193" s="12"/>
      <c r="E193" s="10" t="n">
        <v>10680</v>
      </c>
      <c r="F193" s="10" t="n">
        <v>915</v>
      </c>
      <c r="G193" s="13" t="n">
        <v>16.41</v>
      </c>
      <c r="H193" s="14" t="n">
        <f aca="false">VlrBack</f>
        <v>0.375692307692308</v>
      </c>
      <c r="I193" s="14" t="n">
        <f aca="false">VrlBack</f>
        <v>0.056</v>
      </c>
      <c r="J193" s="15" t="n">
        <v>148.7</v>
      </c>
      <c r="K193" s="15" t="n">
        <v>80.6</v>
      </c>
      <c r="L193" s="9" t="n">
        <v>0.038</v>
      </c>
      <c r="M193" s="9" t="n">
        <v>0.062</v>
      </c>
      <c r="N193" s="9" t="n">
        <v>0.1</v>
      </c>
      <c r="O193" s="2" t="s">
        <v>1172</v>
      </c>
      <c r="P193" s="24" t="s">
        <v>1173</v>
      </c>
      <c r="Q193" s="24"/>
      <c r="R193" s="2" t="s">
        <v>1174</v>
      </c>
      <c r="S193" s="27" t="s">
        <v>1175</v>
      </c>
      <c r="XEH193" s="0"/>
      <c r="XEI193" s="0"/>
    </row>
    <row r="194" s="2" customFormat="true" ht="46.5" hidden="false" customHeight="true" outlineLevel="0" collapsed="false">
      <c r="A194" s="24" t="s">
        <v>1176</v>
      </c>
      <c r="B194" s="4" t="s">
        <v>1177</v>
      </c>
      <c r="C194" s="25"/>
      <c r="D194" s="12"/>
      <c r="E194" s="10" t="n">
        <v>6280</v>
      </c>
      <c r="F194" s="10" t="n">
        <v>670</v>
      </c>
      <c r="G194" s="13" t="n">
        <v>12.35</v>
      </c>
      <c r="H194" s="14" t="n">
        <f aca="false">VlrBack</f>
        <v>0.375692307692308</v>
      </c>
      <c r="I194" s="14" t="n">
        <f aca="false">VrlBack</f>
        <v>0.056</v>
      </c>
      <c r="J194" s="15" t="n">
        <v>109.9</v>
      </c>
      <c r="K194" s="15" t="n">
        <v>60.4</v>
      </c>
      <c r="L194" s="9" t="n">
        <v>0.052</v>
      </c>
      <c r="M194" s="9" t="n">
        <v>0.072</v>
      </c>
      <c r="N194" s="9" t="n">
        <v>0.129</v>
      </c>
      <c r="O194" s="2" t="s">
        <v>1178</v>
      </c>
      <c r="P194" s="24" t="s">
        <v>1179</v>
      </c>
      <c r="Q194" s="24"/>
      <c r="R194" s="2" t="s">
        <v>1180</v>
      </c>
      <c r="S194" s="27" t="s">
        <v>1181</v>
      </c>
      <c r="XEH194" s="0"/>
      <c r="XEI194" s="0"/>
    </row>
    <row r="195" s="2" customFormat="true" ht="46.5" hidden="false" customHeight="true" outlineLevel="0" collapsed="false">
      <c r="A195" s="24" t="s">
        <v>1182</v>
      </c>
      <c r="B195" s="4" t="s">
        <v>1183</v>
      </c>
      <c r="C195" s="28"/>
      <c r="D195" s="12"/>
      <c r="E195" s="10" t="n">
        <v>2800</v>
      </c>
      <c r="F195" s="10" t="n">
        <v>495</v>
      </c>
      <c r="G195" s="13" t="n">
        <v>7.72</v>
      </c>
      <c r="H195" s="14" t="n">
        <f aca="false">VlrTop</f>
        <v>0.385571428571429</v>
      </c>
      <c r="I195" s="14" t="n">
        <f aca="false">VrlTop</f>
        <v>0.048</v>
      </c>
      <c r="J195" s="15" t="n">
        <v>62.1</v>
      </c>
      <c r="K195" s="15" t="n">
        <v>45.5</v>
      </c>
      <c r="L195" s="9" t="n">
        <v>0.04</v>
      </c>
      <c r="M195" s="9" t="n">
        <v>0.062</v>
      </c>
      <c r="N195" s="9" t="n">
        <v>0.103</v>
      </c>
      <c r="O195" s="2" t="s">
        <v>1184</v>
      </c>
      <c r="P195" s="24" t="s">
        <v>1185</v>
      </c>
      <c r="Q195" s="24"/>
      <c r="R195" s="2" t="s">
        <v>1186</v>
      </c>
      <c r="S195" s="32" t="s">
        <v>1187</v>
      </c>
      <c r="XEH195" s="0"/>
      <c r="XEI195" s="0"/>
    </row>
    <row r="196" s="2" customFormat="true" ht="24" hidden="false" customHeight="true" outlineLevel="0" collapsed="false">
      <c r="A196" s="24" t="s">
        <v>1188</v>
      </c>
      <c r="B196" s="4" t="s">
        <v>1189</v>
      </c>
      <c r="C196" s="28" t="s">
        <v>62</v>
      </c>
      <c r="D196" s="12"/>
      <c r="E196" s="10" t="n">
        <v>2420</v>
      </c>
      <c r="F196" s="10" t="n">
        <v>550</v>
      </c>
      <c r="G196" s="13" t="n">
        <v>10.08</v>
      </c>
      <c r="H196" s="14" t="n">
        <f aca="false">VlrBack</f>
        <v>0.375692307692308</v>
      </c>
      <c r="I196" s="14" t="n">
        <f aca="false">VrlBack</f>
        <v>0.056</v>
      </c>
      <c r="J196" s="15" t="n">
        <v>83.3</v>
      </c>
      <c r="K196" s="15" t="n">
        <v>41.5</v>
      </c>
      <c r="L196" s="9" t="n">
        <v>0.052</v>
      </c>
      <c r="M196" s="9" t="n">
        <v>0.083</v>
      </c>
      <c r="N196" s="9" t="n">
        <v>0.136</v>
      </c>
      <c r="O196" s="2" t="s">
        <v>1190</v>
      </c>
      <c r="P196" s="24" t="s">
        <v>1191</v>
      </c>
      <c r="Q196" s="24"/>
      <c r="R196" s="2" t="s">
        <v>1192</v>
      </c>
      <c r="S196" s="27" t="s">
        <v>1193</v>
      </c>
      <c r="XEH196" s="0"/>
      <c r="XEI196" s="0"/>
    </row>
    <row r="197" s="2" customFormat="true" ht="15.75" hidden="false" customHeight="true" outlineLevel="0" collapsed="false">
      <c r="A197" s="24" t="s">
        <v>1194</v>
      </c>
      <c r="B197" s="4" t="s">
        <v>1195</v>
      </c>
      <c r="C197" s="25"/>
      <c r="D197" s="12" t="n">
        <v>0.76</v>
      </c>
      <c r="E197" s="10" t="n">
        <v>8360</v>
      </c>
      <c r="F197" s="10" t="n">
        <v>800</v>
      </c>
      <c r="G197" s="13" t="n">
        <v>14.9</v>
      </c>
      <c r="H197" s="14" t="n">
        <f aca="false">VlrBack</f>
        <v>0.375692307692308</v>
      </c>
      <c r="I197" s="14" t="n">
        <f aca="false">VrlBack</f>
        <v>0.056</v>
      </c>
      <c r="J197" s="15" t="n">
        <v>139.3</v>
      </c>
      <c r="K197" s="15" t="n">
        <v>63.5</v>
      </c>
      <c r="L197" s="9" t="n">
        <v>0.07</v>
      </c>
      <c r="M197" s="9" t="n">
        <v>0.105</v>
      </c>
      <c r="N197" s="9" t="n">
        <v>0.167</v>
      </c>
      <c r="O197" s="2" t="s">
        <v>1196</v>
      </c>
      <c r="P197" s="24" t="s">
        <v>1197</v>
      </c>
      <c r="Q197" s="24"/>
      <c r="R197" s="2" t="s">
        <v>1198</v>
      </c>
      <c r="S197" s="27" t="s">
        <v>1199</v>
      </c>
      <c r="XEH197" s="0"/>
      <c r="XEI197" s="0"/>
    </row>
    <row r="198" s="2" customFormat="true" ht="15.75" hidden="false" customHeight="true" outlineLevel="0" collapsed="false">
      <c r="A198" s="24" t="s">
        <v>1200</v>
      </c>
      <c r="B198" s="4" t="s">
        <v>1201</v>
      </c>
      <c r="C198" s="28" t="s">
        <v>62</v>
      </c>
      <c r="D198" s="12"/>
      <c r="E198" s="10" t="n">
        <v>3070</v>
      </c>
      <c r="F198" s="10" t="n">
        <v>570</v>
      </c>
      <c r="G198" s="13" t="n">
        <v>12.1</v>
      </c>
      <c r="H198" s="14" t="n">
        <f aca="false">VlrBack</f>
        <v>0.375692307692308</v>
      </c>
      <c r="I198" s="14" t="n">
        <f aca="false">VrlBack</f>
        <v>0.056</v>
      </c>
      <c r="J198" s="15" t="n">
        <v>90.3</v>
      </c>
      <c r="K198" s="15" t="n">
        <v>50.1</v>
      </c>
      <c r="L198" s="9" t="n">
        <v>0.046</v>
      </c>
      <c r="M198" s="9" t="n">
        <v>0.077</v>
      </c>
      <c r="N198" s="9" t="n">
        <v>0.123</v>
      </c>
      <c r="O198" s="2" t="s">
        <v>1202</v>
      </c>
      <c r="P198" s="24" t="s">
        <v>1203</v>
      </c>
      <c r="Q198" s="24"/>
      <c r="R198" s="2" t="s">
        <v>1204</v>
      </c>
      <c r="S198" s="27" t="s">
        <v>1205</v>
      </c>
      <c r="XEH198" s="0"/>
      <c r="XEI198" s="0"/>
    </row>
    <row r="199" s="2" customFormat="true" ht="35.25" hidden="false" customHeight="true" outlineLevel="0" collapsed="false">
      <c r="A199" s="24" t="s">
        <v>1206</v>
      </c>
      <c r="B199" s="4" t="s">
        <v>1207</v>
      </c>
      <c r="C199" s="25"/>
      <c r="D199" s="12"/>
      <c r="E199" s="10" t="n">
        <v>2000</v>
      </c>
      <c r="F199" s="10" t="n">
        <v>400</v>
      </c>
      <c r="G199" s="13" t="n">
        <v>7.17</v>
      </c>
      <c r="H199" s="14" t="n">
        <f aca="false">VlrTop</f>
        <v>0.385571428571429</v>
      </c>
      <c r="I199" s="14" t="n">
        <f aca="false">VrlTop</f>
        <v>0.048</v>
      </c>
      <c r="J199" s="15" t="n">
        <v>50.6</v>
      </c>
      <c r="K199" s="15" t="n">
        <v>30.8</v>
      </c>
      <c r="L199" s="9" t="n">
        <v>0.03</v>
      </c>
      <c r="M199" s="9" t="n">
        <v>0.06</v>
      </c>
      <c r="N199" s="9" t="n">
        <v>0.09</v>
      </c>
      <c r="O199" s="2" t="s">
        <v>708</v>
      </c>
      <c r="P199" s="24" t="s">
        <v>1208</v>
      </c>
      <c r="Q199" s="24"/>
      <c r="R199" s="2" t="s">
        <v>1209</v>
      </c>
      <c r="S199" s="27" t="s">
        <v>1210</v>
      </c>
      <c r="XEH199" s="0"/>
      <c r="XEI199" s="0"/>
    </row>
    <row r="200" s="2" customFormat="true" ht="81" hidden="false" customHeight="true" outlineLevel="0" collapsed="false">
      <c r="A200" s="24" t="s">
        <v>1211</v>
      </c>
      <c r="B200" s="4" t="s">
        <v>1212</v>
      </c>
      <c r="C200" s="25"/>
      <c r="D200" s="12" t="n">
        <v>0</v>
      </c>
      <c r="E200" s="10" t="n">
        <v>10790</v>
      </c>
      <c r="F200" s="10" t="n">
        <v>1035</v>
      </c>
      <c r="G200" s="13" t="n">
        <v>16.38</v>
      </c>
      <c r="H200" s="14" t="n">
        <f aca="false">VlrBack</f>
        <v>0.375692307692308</v>
      </c>
      <c r="I200" s="14" t="n">
        <f aca="false">VrlBack</f>
        <v>0.056</v>
      </c>
      <c r="J200" s="15" t="n">
        <v>171</v>
      </c>
      <c r="K200" s="15" t="n">
        <v>117</v>
      </c>
      <c r="L200" s="9"/>
      <c r="M200" s="9"/>
      <c r="N200" s="9"/>
      <c r="O200" s="2" t="s">
        <v>1213</v>
      </c>
      <c r="P200" s="24" t="s">
        <v>1214</v>
      </c>
      <c r="Q200" s="24"/>
      <c r="R200" s="2" t="s">
        <v>1215</v>
      </c>
      <c r="S200" s="27" t="s">
        <v>1216</v>
      </c>
      <c r="XEH200" s="0"/>
      <c r="XEI200" s="0"/>
    </row>
    <row r="201" s="2" customFormat="true" ht="24" hidden="false" customHeight="true" outlineLevel="0" collapsed="false">
      <c r="A201" s="24" t="s">
        <v>1217</v>
      </c>
      <c r="B201" s="4" t="s">
        <v>1218</v>
      </c>
      <c r="C201" s="25"/>
      <c r="D201" s="26" t="n">
        <v>0.59</v>
      </c>
      <c r="E201" s="10" t="n">
        <v>3110</v>
      </c>
      <c r="F201" s="10" t="n">
        <v>530</v>
      </c>
      <c r="G201" s="13" t="n">
        <v>7.86</v>
      </c>
      <c r="H201" s="14" t="n">
        <f aca="false">VlrBack</f>
        <v>0.375692307692308</v>
      </c>
      <c r="I201" s="14" t="n">
        <f aca="false">VrlBack</f>
        <v>0.056</v>
      </c>
      <c r="J201" s="15" t="n">
        <v>61.4</v>
      </c>
      <c r="K201" s="15" t="n">
        <v>36</v>
      </c>
      <c r="L201" s="9" t="n">
        <v>0.03</v>
      </c>
      <c r="M201" s="9" t="n">
        <v>0.072</v>
      </c>
      <c r="N201" s="9" t="n">
        <v>0.12</v>
      </c>
      <c r="O201" s="2" t="s">
        <v>1219</v>
      </c>
      <c r="P201" s="24" t="s">
        <v>1220</v>
      </c>
      <c r="Q201" s="24"/>
      <c r="R201" s="2" t="s">
        <v>1221</v>
      </c>
      <c r="S201" s="27" t="s">
        <v>1222</v>
      </c>
      <c r="XEH201" s="0"/>
      <c r="XEI201" s="0"/>
    </row>
    <row r="202" s="2" customFormat="true" ht="24" hidden="false" customHeight="true" outlineLevel="0" collapsed="false">
      <c r="A202" s="24" t="s">
        <v>1223</v>
      </c>
      <c r="B202" s="4" t="s">
        <v>1224</v>
      </c>
      <c r="C202" s="25"/>
      <c r="D202" s="26" t="n">
        <v>0</v>
      </c>
      <c r="E202" s="10" t="n">
        <v>7380</v>
      </c>
      <c r="F202" s="10" t="n">
        <v>770</v>
      </c>
      <c r="G202" s="13" t="n">
        <v>10.4</v>
      </c>
      <c r="H202" s="14" t="n">
        <f aca="false">VlrBack</f>
        <v>0.375692307692308</v>
      </c>
      <c r="I202" s="14" t="n">
        <f aca="false">VrlBack</f>
        <v>0.056</v>
      </c>
      <c r="J202" s="15" t="n">
        <v>97.5</v>
      </c>
      <c r="K202" s="15" t="n">
        <v>55.5</v>
      </c>
      <c r="L202" s="9" t="n">
        <v>0.031</v>
      </c>
      <c r="M202" s="9" t="n">
        <v>0.053</v>
      </c>
      <c r="N202" s="9" t="n">
        <v>0.084</v>
      </c>
      <c r="O202" s="2" t="s">
        <v>1225</v>
      </c>
      <c r="P202" s="24" t="s">
        <v>1226</v>
      </c>
      <c r="Q202" s="24"/>
      <c r="R202" s="2" t="s">
        <v>1227</v>
      </c>
      <c r="S202" s="27" t="s">
        <v>1228</v>
      </c>
      <c r="XEH202" s="0"/>
      <c r="XEI202" s="0"/>
    </row>
    <row r="203" s="2" customFormat="true" ht="15.75" hidden="false" customHeight="true" outlineLevel="0" collapsed="false">
      <c r="A203" s="24" t="s">
        <v>1229</v>
      </c>
      <c r="B203" s="4" t="s">
        <v>1230</v>
      </c>
      <c r="C203" s="28" t="s">
        <v>62</v>
      </c>
      <c r="D203" s="12"/>
      <c r="E203" s="10" t="n">
        <v>2270</v>
      </c>
      <c r="F203" s="10" t="n">
        <v>425</v>
      </c>
      <c r="G203" s="13" t="n">
        <v>11.03</v>
      </c>
      <c r="H203" s="14" t="n">
        <v>0.372</v>
      </c>
      <c r="I203" s="14" t="n">
        <v>0.04</v>
      </c>
      <c r="J203" s="15" t="n">
        <v>70</v>
      </c>
      <c r="K203" s="15" t="n">
        <v>38.2</v>
      </c>
      <c r="L203" s="9" t="n">
        <v>0.043</v>
      </c>
      <c r="M203" s="9" t="n">
        <v>0.075</v>
      </c>
      <c r="N203" s="9" t="n">
        <v>0.115</v>
      </c>
      <c r="O203" s="2" t="s">
        <v>1231</v>
      </c>
      <c r="P203" s="24" t="s">
        <v>1232</v>
      </c>
      <c r="Q203" s="24"/>
      <c r="R203" s="2" t="s">
        <v>1233</v>
      </c>
      <c r="S203" s="27" t="s">
        <v>1234</v>
      </c>
      <c r="XEH203" s="0"/>
      <c r="XEI203" s="0"/>
    </row>
    <row r="204" s="2" customFormat="true" ht="15.75" hidden="false" customHeight="true" outlineLevel="0" collapsed="false">
      <c r="A204" s="24" t="s">
        <v>1235</v>
      </c>
      <c r="B204" s="4" t="s">
        <v>1236</v>
      </c>
      <c r="C204" s="28" t="s">
        <v>62</v>
      </c>
      <c r="D204" s="26"/>
      <c r="E204" s="10" t="n">
        <v>3380</v>
      </c>
      <c r="F204" s="10" t="n">
        <v>655</v>
      </c>
      <c r="G204" s="13" t="n">
        <v>13.7</v>
      </c>
      <c r="H204" s="14" t="n">
        <v>0.332</v>
      </c>
      <c r="I204" s="14" t="n">
        <f aca="false">VrlBack</f>
        <v>0.056</v>
      </c>
      <c r="J204" s="15" t="n">
        <v>112.4</v>
      </c>
      <c r="K204" s="15" t="n">
        <v>56.1</v>
      </c>
      <c r="L204" s="9" t="n">
        <v>0.054</v>
      </c>
      <c r="M204" s="9" t="n">
        <v>0.076</v>
      </c>
      <c r="N204" s="9" t="n">
        <v>0.121</v>
      </c>
      <c r="O204" s="2" t="s">
        <v>1237</v>
      </c>
      <c r="P204" s="24" t="s">
        <v>1238</v>
      </c>
      <c r="Q204" s="24"/>
      <c r="R204" s="2" t="s">
        <v>1239</v>
      </c>
      <c r="S204" s="27" t="s">
        <v>1240</v>
      </c>
      <c r="XEH204" s="0"/>
      <c r="XEI204" s="0"/>
    </row>
    <row r="205" s="2" customFormat="true" ht="46.5" hidden="false" customHeight="true" outlineLevel="0" collapsed="false">
      <c r="A205" s="24" t="s">
        <v>1241</v>
      </c>
      <c r="B205" s="4" t="s">
        <v>1242</v>
      </c>
      <c r="C205" s="25"/>
      <c r="D205" s="12"/>
      <c r="E205" s="10" t="n">
        <v>16900</v>
      </c>
      <c r="F205" s="10" t="n">
        <v>1210</v>
      </c>
      <c r="G205" s="13" t="n">
        <v>23.2</v>
      </c>
      <c r="H205" s="14" t="n">
        <f aca="false">VlrBack</f>
        <v>0.375692307692308</v>
      </c>
      <c r="I205" s="14" t="n">
        <f aca="false">VrlBack</f>
        <v>0.056</v>
      </c>
      <c r="J205" s="15" t="n">
        <v>195</v>
      </c>
      <c r="K205" s="15" t="n">
        <v>119</v>
      </c>
      <c r="L205" s="9" t="n">
        <v>0.047</v>
      </c>
      <c r="M205" s="9" t="n">
        <v>0.06</v>
      </c>
      <c r="N205" s="9" t="n">
        <v>0.107</v>
      </c>
      <c r="O205" s="2" t="s">
        <v>1243</v>
      </c>
      <c r="P205" s="24" t="s">
        <v>1244</v>
      </c>
      <c r="Q205" s="24"/>
      <c r="R205" s="2" t="s">
        <v>1245</v>
      </c>
      <c r="S205" s="27" t="s">
        <v>1246</v>
      </c>
      <c r="XEH205" s="0"/>
      <c r="XEI205" s="0"/>
    </row>
    <row r="206" s="2" customFormat="true" ht="46.5" hidden="false" customHeight="true" outlineLevel="0" collapsed="false">
      <c r="A206" s="24" t="s">
        <v>1247</v>
      </c>
      <c r="B206" s="4" t="s">
        <v>1248</v>
      </c>
      <c r="C206" s="28" t="s">
        <v>62</v>
      </c>
      <c r="D206" s="12"/>
      <c r="E206" s="10" t="n">
        <v>2710</v>
      </c>
      <c r="F206" s="10" t="n">
        <v>505</v>
      </c>
      <c r="G206" s="13" t="n">
        <v>8.07</v>
      </c>
      <c r="H206" s="14" t="n">
        <f aca="false">VlrBack</f>
        <v>0.375692307692308</v>
      </c>
      <c r="I206" s="14" t="n">
        <f aca="false">VrlBack</f>
        <v>0.056</v>
      </c>
      <c r="J206" s="15" t="n">
        <v>64.8</v>
      </c>
      <c r="K206" s="15" t="n">
        <v>45.3</v>
      </c>
      <c r="L206" s="9" t="n">
        <v>0.022</v>
      </c>
      <c r="M206" s="9" t="n">
        <v>0.04</v>
      </c>
      <c r="N206" s="9" t="n">
        <v>0.07</v>
      </c>
      <c r="O206" s="2" t="s">
        <v>517</v>
      </c>
      <c r="P206" s="24" t="s">
        <v>1249</v>
      </c>
      <c r="Q206" s="24"/>
      <c r="R206" s="2" t="s">
        <v>1250</v>
      </c>
      <c r="S206" s="27" t="s">
        <v>520</v>
      </c>
      <c r="XEH206" s="0"/>
      <c r="XEI206" s="0"/>
    </row>
    <row r="207" s="2" customFormat="true" ht="15.75" hidden="false" customHeight="true" outlineLevel="0" collapsed="false">
      <c r="A207" s="24" t="s">
        <v>1251</v>
      </c>
      <c r="B207" s="4" t="s">
        <v>1252</v>
      </c>
      <c r="C207" s="25"/>
      <c r="D207" s="26"/>
      <c r="E207" s="10" t="n">
        <v>3930</v>
      </c>
      <c r="F207" s="10" t="n">
        <v>590</v>
      </c>
      <c r="G207" s="13" t="n">
        <v>7.93</v>
      </c>
      <c r="H207" s="14" t="n">
        <f aca="false">VlrBack</f>
        <v>0.375692307692308</v>
      </c>
      <c r="I207" s="14" t="n">
        <f aca="false">VrlBack</f>
        <v>0.056</v>
      </c>
      <c r="J207" s="15" t="n">
        <v>74.4</v>
      </c>
      <c r="K207" s="15" t="n">
        <v>35</v>
      </c>
      <c r="L207" s="9" t="n">
        <v>0.027</v>
      </c>
      <c r="M207" s="9" t="n">
        <v>0.077</v>
      </c>
      <c r="N207" s="9" t="n">
        <v>0.105</v>
      </c>
      <c r="O207" s="2" t="s">
        <v>1253</v>
      </c>
      <c r="P207" s="24" t="s">
        <v>1254</v>
      </c>
      <c r="Q207" s="24"/>
      <c r="R207" s="2" t="s">
        <v>1255</v>
      </c>
      <c r="S207" s="27" t="s">
        <v>1256</v>
      </c>
      <c r="XEH207" s="0"/>
      <c r="XEI207" s="0"/>
    </row>
    <row r="208" s="2" customFormat="true" ht="24" hidden="false" customHeight="true" outlineLevel="0" collapsed="false">
      <c r="A208" s="24" t="s">
        <v>1257</v>
      </c>
      <c r="B208" s="4" t="s">
        <v>1258</v>
      </c>
      <c r="C208" s="28" t="s">
        <v>62</v>
      </c>
      <c r="D208" s="12"/>
      <c r="E208" s="10" t="n">
        <v>2670</v>
      </c>
      <c r="F208" s="10" t="n">
        <v>470</v>
      </c>
      <c r="G208" s="13" t="n">
        <v>9.12</v>
      </c>
      <c r="H208" s="14" t="n">
        <f aca="false">VlrTop</f>
        <v>0.385571428571429</v>
      </c>
      <c r="I208" s="14" t="n">
        <f aca="false">VrlTop</f>
        <v>0.048</v>
      </c>
      <c r="J208" s="15" t="n">
        <v>70.8</v>
      </c>
      <c r="K208" s="15" t="n">
        <v>40.4</v>
      </c>
      <c r="L208" s="9" t="n">
        <v>0.041</v>
      </c>
      <c r="M208" s="9" t="n">
        <v>0.062</v>
      </c>
      <c r="N208" s="9" t="n">
        <v>0.102</v>
      </c>
      <c r="O208" s="2" t="s">
        <v>1259</v>
      </c>
      <c r="P208" s="24" t="s">
        <v>1260</v>
      </c>
      <c r="Q208" s="24"/>
      <c r="R208" s="2" t="s">
        <v>1261</v>
      </c>
      <c r="S208" s="27" t="s">
        <v>1262</v>
      </c>
      <c r="XEH208" s="0"/>
      <c r="XEI208" s="0"/>
    </row>
    <row r="209" s="2" customFormat="true" ht="15.75" hidden="false" customHeight="true" outlineLevel="0" collapsed="false">
      <c r="A209" s="24" t="s">
        <v>1263</v>
      </c>
      <c r="B209" s="4" t="s">
        <v>1264</v>
      </c>
      <c r="C209" s="28" t="s">
        <v>62</v>
      </c>
      <c r="D209" s="30"/>
      <c r="E209" s="10" t="n">
        <v>3110</v>
      </c>
      <c r="F209" s="10" t="n">
        <v>525</v>
      </c>
      <c r="G209" s="13" t="n">
        <v>9.69</v>
      </c>
      <c r="H209" s="14" t="n">
        <f aca="false">VlrBack</f>
        <v>0.375692307692308</v>
      </c>
      <c r="I209" s="14" t="n">
        <f aca="false">VrlBack</f>
        <v>0.056</v>
      </c>
      <c r="J209" s="15" t="n">
        <v>71</v>
      </c>
      <c r="K209" s="15" t="n">
        <v>39</v>
      </c>
      <c r="L209" s="9"/>
      <c r="M209" s="9"/>
      <c r="N209" s="9"/>
      <c r="O209" s="2" t="s">
        <v>1265</v>
      </c>
      <c r="P209" s="24" t="s">
        <v>1266</v>
      </c>
      <c r="Q209" s="24"/>
      <c r="R209" s="2" t="s">
        <v>1267</v>
      </c>
      <c r="S209" s="27" t="s">
        <v>1268</v>
      </c>
      <c r="XEH209" s="0"/>
      <c r="XEI209" s="0"/>
    </row>
    <row r="210" s="2" customFormat="true" ht="24" hidden="false" customHeight="true" outlineLevel="0" collapsed="false">
      <c r="A210" s="24" t="s">
        <v>1269</v>
      </c>
      <c r="B210" s="4" t="s">
        <v>1270</v>
      </c>
      <c r="C210" s="28"/>
      <c r="D210" s="12" t="n">
        <v>0.59</v>
      </c>
      <c r="E210" s="10" t="n">
        <v>3430</v>
      </c>
      <c r="F210" s="10" t="n">
        <v>515</v>
      </c>
      <c r="G210" s="13" t="n">
        <v>7.86</v>
      </c>
      <c r="H210" s="14" t="n">
        <f aca="false">VlrBack</f>
        <v>0.375692307692308</v>
      </c>
      <c r="I210" s="14" t="n">
        <f aca="false">VrlBack</f>
        <v>0.056</v>
      </c>
      <c r="J210" s="15" t="n">
        <v>61.4</v>
      </c>
      <c r="K210" s="15" t="n">
        <v>36</v>
      </c>
      <c r="L210" s="9" t="n">
        <v>0.032</v>
      </c>
      <c r="M210" s="9" t="n">
        <v>0.086</v>
      </c>
      <c r="N210" s="9" t="n">
        <v>0.123</v>
      </c>
      <c r="O210" s="2" t="s">
        <v>1271</v>
      </c>
      <c r="P210" s="24" t="s">
        <v>1272</v>
      </c>
      <c r="Q210" s="24"/>
      <c r="R210" s="2" t="s">
        <v>1273</v>
      </c>
      <c r="S210" s="27" t="s">
        <v>1274</v>
      </c>
      <c r="XEH210" s="0"/>
      <c r="XEI210" s="0"/>
    </row>
    <row r="211" s="2" customFormat="true" ht="15.75" hidden="false" customHeight="true" outlineLevel="0" collapsed="false">
      <c r="A211" s="24" t="s">
        <v>1275</v>
      </c>
      <c r="B211" s="4" t="s">
        <v>1276</v>
      </c>
      <c r="C211" s="28" t="s">
        <v>62</v>
      </c>
      <c r="D211" s="12"/>
      <c r="E211" s="10" t="n">
        <v>1560</v>
      </c>
      <c r="F211" s="10" t="n">
        <v>530</v>
      </c>
      <c r="G211" s="13" t="n">
        <v>9.13</v>
      </c>
      <c r="H211" s="14" t="n">
        <v>0.341</v>
      </c>
      <c r="I211" s="14" t="n">
        <f aca="false">VrlBack</f>
        <v>0.056</v>
      </c>
      <c r="J211" s="15" t="n">
        <v>58</v>
      </c>
      <c r="K211" s="15" t="n">
        <v>33.9</v>
      </c>
      <c r="L211" s="9" t="n">
        <v>0.026</v>
      </c>
      <c r="M211" s="9" t="n">
        <v>0.074</v>
      </c>
      <c r="N211" s="9" t="n">
        <v>0.094</v>
      </c>
      <c r="O211" s="2" t="s">
        <v>1277</v>
      </c>
      <c r="P211" s="24" t="s">
        <v>1278</v>
      </c>
      <c r="Q211" s="24"/>
      <c r="R211" s="2" t="s">
        <v>1279</v>
      </c>
      <c r="S211" s="27" t="s">
        <v>1280</v>
      </c>
      <c r="XEH211" s="0"/>
      <c r="XEI211" s="0"/>
    </row>
    <row r="212" s="2" customFormat="true" ht="24" hidden="false" customHeight="true" outlineLevel="0" collapsed="false">
      <c r="A212" s="24" t="s">
        <v>1281</v>
      </c>
      <c r="B212" s="4" t="s">
        <v>1282</v>
      </c>
      <c r="C212" s="28" t="s">
        <v>62</v>
      </c>
      <c r="D212" s="12"/>
      <c r="E212" s="10" t="n">
        <v>1690</v>
      </c>
      <c r="F212" s="10" t="n">
        <v>400</v>
      </c>
      <c r="G212" s="13" t="n">
        <v>8.21</v>
      </c>
      <c r="H212" s="14" t="n">
        <v>0.356</v>
      </c>
      <c r="I212" s="14" t="n">
        <v>0.046</v>
      </c>
      <c r="J212" s="15" t="n">
        <v>56.6</v>
      </c>
      <c r="K212" s="15" t="n">
        <v>30.8</v>
      </c>
      <c r="L212" s="9" t="n">
        <v>0.029</v>
      </c>
      <c r="M212" s="9" t="n">
        <v>0.056</v>
      </c>
      <c r="N212" s="9" t="n">
        <v>0.079</v>
      </c>
      <c r="O212" s="2" t="s">
        <v>1283</v>
      </c>
      <c r="P212" s="24" t="s">
        <v>1284</v>
      </c>
      <c r="Q212" s="24"/>
      <c r="R212" s="2" t="s">
        <v>1285</v>
      </c>
      <c r="S212" s="27" t="s">
        <v>1286</v>
      </c>
      <c r="XEH212" s="0"/>
      <c r="XEI212" s="0"/>
    </row>
    <row r="213" s="2" customFormat="true" ht="35.25" hidden="false" customHeight="true" outlineLevel="0" collapsed="false">
      <c r="A213" s="24" t="s">
        <v>1287</v>
      </c>
      <c r="B213" s="4" t="s">
        <v>1288</v>
      </c>
      <c r="C213" s="28" t="s">
        <v>62</v>
      </c>
      <c r="D213" s="12"/>
      <c r="E213" s="10" t="n">
        <v>1420</v>
      </c>
      <c r="F213" s="10" t="n">
        <v>360</v>
      </c>
      <c r="G213" s="13" t="n">
        <v>7.65</v>
      </c>
      <c r="H213" s="14" t="n">
        <f aca="false">VlrTop</f>
        <v>0.385571428571429</v>
      </c>
      <c r="I213" s="14" t="n">
        <f aca="false">VrlTop</f>
        <v>0.048</v>
      </c>
      <c r="J213" s="15" t="n">
        <v>36.4</v>
      </c>
      <c r="K213" s="15" t="n">
        <v>28</v>
      </c>
      <c r="L213" s="9" t="n">
        <v>0.021</v>
      </c>
      <c r="M213" s="9" t="n">
        <v>0.068</v>
      </c>
      <c r="N213" s="9" t="n">
        <v>0.105</v>
      </c>
      <c r="O213" s="2" t="s">
        <v>1289</v>
      </c>
      <c r="P213" s="24" t="s">
        <v>1290</v>
      </c>
      <c r="Q213" s="24"/>
      <c r="R213" s="2" t="s">
        <v>1291</v>
      </c>
      <c r="S213" s="27" t="s">
        <v>1292</v>
      </c>
      <c r="XEH213" s="0"/>
      <c r="XEI213" s="0"/>
    </row>
    <row r="214" s="2" customFormat="true" ht="46.5" hidden="false" customHeight="true" outlineLevel="0" collapsed="false">
      <c r="A214" s="24" t="s">
        <v>1293</v>
      </c>
      <c r="B214" s="4" t="s">
        <v>1294</v>
      </c>
      <c r="C214" s="25"/>
      <c r="D214" s="26" t="n">
        <v>0</v>
      </c>
      <c r="E214" s="10" t="n">
        <v>5120</v>
      </c>
      <c r="F214" s="10" t="n">
        <v>600</v>
      </c>
      <c r="G214" s="13" t="n">
        <v>10.55</v>
      </c>
      <c r="H214" s="14" t="n">
        <f aca="false">VlrBack</f>
        <v>0.375692307692308</v>
      </c>
      <c r="I214" s="14" t="n">
        <f aca="false">VrlBack</f>
        <v>0.056</v>
      </c>
      <c r="J214" s="15" t="n">
        <v>103.3</v>
      </c>
      <c r="K214" s="15" t="n">
        <v>50</v>
      </c>
      <c r="L214" s="9" t="n">
        <v>0.051</v>
      </c>
      <c r="M214" s="9" t="n">
        <v>0.084</v>
      </c>
      <c r="N214" s="9" t="n">
        <v>0.138</v>
      </c>
      <c r="O214" s="2" t="s">
        <v>1295</v>
      </c>
      <c r="P214" s="24" t="s">
        <v>1296</v>
      </c>
      <c r="Q214" s="24"/>
      <c r="R214" s="2" t="s">
        <v>1297</v>
      </c>
      <c r="S214" s="27" t="s">
        <v>1298</v>
      </c>
      <c r="XEH214" s="0"/>
      <c r="XEI214" s="0"/>
    </row>
    <row r="215" s="2" customFormat="true" ht="57.75" hidden="false" customHeight="true" outlineLevel="0" collapsed="false">
      <c r="A215" s="24" t="s">
        <v>1299</v>
      </c>
      <c r="B215" s="4" t="s">
        <v>1300</v>
      </c>
      <c r="C215" s="25"/>
      <c r="D215" s="26"/>
      <c r="E215" s="10" t="n">
        <v>3010</v>
      </c>
      <c r="F215" s="10" t="n">
        <v>590</v>
      </c>
      <c r="G215" s="13" t="n">
        <v>8.61</v>
      </c>
      <c r="H215" s="14" t="n">
        <f aca="false">VlrBack</f>
        <v>0.375692307692308</v>
      </c>
      <c r="I215" s="14" t="n">
        <f aca="false">VrlBack</f>
        <v>0.056</v>
      </c>
      <c r="J215" s="15" t="n">
        <v>71.4</v>
      </c>
      <c r="K215" s="15" t="n">
        <v>43.8</v>
      </c>
      <c r="L215" s="9" t="n">
        <v>0.042</v>
      </c>
      <c r="M215" s="9" t="n">
        <v>0.069</v>
      </c>
      <c r="N215" s="9" t="n">
        <v>0.126</v>
      </c>
      <c r="O215" s="2" t="s">
        <v>1301</v>
      </c>
      <c r="P215" s="24" t="s">
        <v>1302</v>
      </c>
      <c r="Q215" s="24"/>
      <c r="R215" s="2" t="s">
        <v>1303</v>
      </c>
      <c r="S215" s="27" t="s">
        <v>1304</v>
      </c>
      <c r="XEH215" s="0"/>
      <c r="XEI215" s="0"/>
    </row>
    <row r="216" s="2" customFormat="true" ht="46.5" hidden="false" customHeight="true" outlineLevel="0" collapsed="false">
      <c r="A216" s="24" t="s">
        <v>1305</v>
      </c>
      <c r="B216" s="4" t="s">
        <v>1306</v>
      </c>
      <c r="C216" s="25"/>
      <c r="D216" s="12" t="n">
        <v>0.85</v>
      </c>
      <c r="E216" s="10" t="n">
        <v>3600</v>
      </c>
      <c r="F216" s="10" t="n">
        <v>545</v>
      </c>
      <c r="G216" s="13" t="n">
        <v>11.31</v>
      </c>
      <c r="H216" s="14" t="n">
        <f aca="false">VlrBack</f>
        <v>0.375692307692308</v>
      </c>
      <c r="I216" s="14" t="n">
        <f aca="false">VrlBack</f>
        <v>0.056</v>
      </c>
      <c r="J216" s="15" t="n">
        <v>75.2</v>
      </c>
      <c r="K216" s="15" t="n">
        <v>39.2</v>
      </c>
      <c r="L216" s="9" t="n">
        <v>0.047</v>
      </c>
      <c r="M216" s="9" t="n">
        <v>0.083</v>
      </c>
      <c r="N216" s="9" t="n">
        <v>0.129</v>
      </c>
      <c r="O216" s="2" t="s">
        <v>1307</v>
      </c>
      <c r="P216" s="24" t="s">
        <v>1308</v>
      </c>
      <c r="Q216" s="24"/>
      <c r="R216" s="2" t="s">
        <v>1309</v>
      </c>
      <c r="S216" s="27" t="s">
        <v>1310</v>
      </c>
      <c r="XEH216" s="0"/>
      <c r="XEI216" s="0"/>
    </row>
    <row r="217" s="2" customFormat="true" ht="57.75" hidden="false" customHeight="true" outlineLevel="0" collapsed="false">
      <c r="A217" s="24" t="s">
        <v>1311</v>
      </c>
      <c r="B217" s="4" t="s">
        <v>1312</v>
      </c>
      <c r="C217" s="25"/>
      <c r="D217" s="26" t="n">
        <v>0.67</v>
      </c>
      <c r="E217" s="10" t="n">
        <v>3780</v>
      </c>
      <c r="F217" s="10" t="n">
        <v>545</v>
      </c>
      <c r="G217" s="13" t="n">
        <v>11.31</v>
      </c>
      <c r="H217" s="14" t="n">
        <v>0.325</v>
      </c>
      <c r="I217" s="14" t="n">
        <v>0.044</v>
      </c>
      <c r="J217" s="15" t="n">
        <v>86.2</v>
      </c>
      <c r="K217" s="15" t="n">
        <v>43.6</v>
      </c>
      <c r="L217" s="9" t="n">
        <v>0.053</v>
      </c>
      <c r="M217" s="9" t="n">
        <v>0.102</v>
      </c>
      <c r="N217" s="9" t="n">
        <v>0.158</v>
      </c>
      <c r="O217" s="2" t="s">
        <v>1313</v>
      </c>
      <c r="P217" s="24" t="s">
        <v>1314</v>
      </c>
      <c r="Q217" s="24"/>
      <c r="R217" s="2" t="s">
        <v>1315</v>
      </c>
      <c r="S217" s="27" t="s">
        <v>1316</v>
      </c>
      <c r="XEH217" s="0"/>
      <c r="XEI217" s="0"/>
    </row>
    <row r="218" s="2" customFormat="true" ht="35.25" hidden="false" customHeight="true" outlineLevel="0" collapsed="false">
      <c r="A218" s="24" t="s">
        <v>1317</v>
      </c>
      <c r="B218" s="4" t="s">
        <v>1318</v>
      </c>
      <c r="C218" s="25"/>
      <c r="D218" s="12" t="n">
        <v>0.29</v>
      </c>
      <c r="E218" s="10" t="n">
        <v>3430</v>
      </c>
      <c r="F218" s="10" t="n">
        <v>545</v>
      </c>
      <c r="G218" s="13" t="n">
        <v>9.79</v>
      </c>
      <c r="H218" s="14" t="n">
        <f aca="false">VlrBack</f>
        <v>0.375692307692308</v>
      </c>
      <c r="I218" s="14" t="n">
        <f aca="false">VrlBack</f>
        <v>0.056</v>
      </c>
      <c r="J218" s="15" t="n">
        <v>69</v>
      </c>
      <c r="K218" s="15" t="n">
        <v>37.1</v>
      </c>
      <c r="L218" s="9" t="n">
        <v>0.05</v>
      </c>
      <c r="M218" s="9" t="n">
        <v>0.084</v>
      </c>
      <c r="N218" s="9" t="n">
        <v>0.141</v>
      </c>
      <c r="O218" s="2" t="s">
        <v>1319</v>
      </c>
      <c r="P218" s="24" t="s">
        <v>1320</v>
      </c>
      <c r="Q218" s="24"/>
      <c r="R218" s="2" t="s">
        <v>1321</v>
      </c>
      <c r="S218" s="27" t="s">
        <v>1322</v>
      </c>
      <c r="XEH218" s="0"/>
      <c r="XEI218" s="0"/>
    </row>
    <row r="219" s="2" customFormat="true" ht="35.25" hidden="false" customHeight="true" outlineLevel="0" collapsed="false">
      <c r="A219" s="24" t="s">
        <v>1323</v>
      </c>
      <c r="B219" s="4" t="s">
        <v>1324</v>
      </c>
      <c r="C219" s="25"/>
      <c r="D219" s="26" t="n">
        <v>0.59</v>
      </c>
      <c r="E219" s="10" t="n">
        <v>4680</v>
      </c>
      <c r="F219" s="10" t="n">
        <v>615</v>
      </c>
      <c r="G219" s="13" t="n">
        <v>9.92</v>
      </c>
      <c r="H219" s="14" t="n">
        <f aca="false">VlrBack</f>
        <v>0.375692307692308</v>
      </c>
      <c r="I219" s="14" t="n">
        <f aca="false">VrlBack</f>
        <v>0.056</v>
      </c>
      <c r="J219" s="15" t="n">
        <v>98.1</v>
      </c>
      <c r="K219" s="15" t="n">
        <v>55</v>
      </c>
      <c r="L219" s="9" t="n">
        <v>0.045</v>
      </c>
      <c r="M219" s="9" t="n">
        <v>0.078</v>
      </c>
      <c r="N219" s="9" t="n">
        <v>0.123</v>
      </c>
      <c r="O219" s="2" t="s">
        <v>1325</v>
      </c>
      <c r="P219" s="24" t="s">
        <v>1326</v>
      </c>
      <c r="Q219" s="24"/>
      <c r="R219" s="2" t="s">
        <v>1327</v>
      </c>
      <c r="S219" s="27" t="s">
        <v>1328</v>
      </c>
      <c r="XEH219" s="0"/>
      <c r="XEI219" s="0"/>
    </row>
    <row r="220" s="2" customFormat="true" ht="46.5" hidden="false" customHeight="true" outlineLevel="0" collapsed="false">
      <c r="A220" s="24" t="s">
        <v>1329</v>
      </c>
      <c r="B220" s="4" t="s">
        <v>1330</v>
      </c>
      <c r="C220" s="25"/>
      <c r="D220" s="26" t="n">
        <v>0</v>
      </c>
      <c r="E220" s="10" t="n">
        <v>4490</v>
      </c>
      <c r="F220" s="10" t="n">
        <v>560</v>
      </c>
      <c r="G220" s="13" t="n">
        <v>8.24</v>
      </c>
      <c r="H220" s="14" t="n">
        <f aca="false">VlrBack</f>
        <v>0.375692307692308</v>
      </c>
      <c r="I220" s="14" t="n">
        <f aca="false">VrlBack</f>
        <v>0.056</v>
      </c>
      <c r="J220" s="15" t="n">
        <v>74.6</v>
      </c>
      <c r="K220" s="15"/>
      <c r="L220" s="9" t="n">
        <v>0.05</v>
      </c>
      <c r="M220" s="9" t="n">
        <v>0.078</v>
      </c>
      <c r="N220" s="9" t="n">
        <v>0.152</v>
      </c>
      <c r="O220" s="2" t="s">
        <v>1331</v>
      </c>
      <c r="P220" s="24" t="s">
        <v>1332</v>
      </c>
      <c r="Q220" s="24"/>
      <c r="R220" s="2" t="s">
        <v>1333</v>
      </c>
      <c r="S220" s="27" t="s">
        <v>1334</v>
      </c>
      <c r="XEH220" s="0"/>
      <c r="XEI220" s="0"/>
    </row>
    <row r="221" s="2" customFormat="true" ht="24" hidden="false" customHeight="true" outlineLevel="0" collapsed="false">
      <c r="A221" s="24" t="s">
        <v>1335</v>
      </c>
      <c r="B221" s="4" t="s">
        <v>1336</v>
      </c>
      <c r="C221" s="25"/>
      <c r="D221" s="26"/>
      <c r="E221" s="10" t="n">
        <v>6290</v>
      </c>
      <c r="F221" s="10" t="n">
        <v>675</v>
      </c>
      <c r="G221" s="13" t="n">
        <v>14.29</v>
      </c>
      <c r="H221" s="14" t="n">
        <f aca="false">VlrBack</f>
        <v>0.375692307692308</v>
      </c>
      <c r="I221" s="14" t="n">
        <f aca="false">VrlBack</f>
        <v>0.056</v>
      </c>
      <c r="J221" s="15" t="n">
        <v>114.8</v>
      </c>
      <c r="K221" s="15" t="n">
        <v>56.9</v>
      </c>
      <c r="L221" s="9" t="n">
        <v>0.049</v>
      </c>
      <c r="M221" s="9" t="n">
        <v>0.117</v>
      </c>
      <c r="N221" s="9" t="n">
        <v>0.173</v>
      </c>
      <c r="O221" s="2" t="s">
        <v>1337</v>
      </c>
      <c r="P221" s="24" t="s">
        <v>1338</v>
      </c>
      <c r="Q221" s="24"/>
      <c r="R221" s="2" t="s">
        <v>1339</v>
      </c>
      <c r="S221" s="27" t="s">
        <v>1340</v>
      </c>
      <c r="XEH221" s="0"/>
      <c r="XEI221" s="0"/>
    </row>
    <row r="222" s="2" customFormat="true" ht="35.25" hidden="false" customHeight="true" outlineLevel="0" collapsed="false">
      <c r="A222" s="24" t="s">
        <v>1341</v>
      </c>
      <c r="B222" s="4" t="s">
        <v>1342</v>
      </c>
      <c r="C222" s="25"/>
      <c r="D222" s="12"/>
      <c r="E222" s="10" t="n">
        <v>4740</v>
      </c>
      <c r="F222" s="10" t="n">
        <v>655</v>
      </c>
      <c r="G222" s="13" t="n">
        <v>12.28</v>
      </c>
      <c r="H222" s="14" t="n">
        <f aca="false">VlrBack</f>
        <v>0.375692307692308</v>
      </c>
      <c r="I222" s="14" t="n">
        <f aca="false">VrlBack</f>
        <v>0.056</v>
      </c>
      <c r="J222" s="15" t="n">
        <v>97.1</v>
      </c>
      <c r="K222" s="15" t="n">
        <v>54.8</v>
      </c>
      <c r="L222" s="9" t="n">
        <v>0.026</v>
      </c>
      <c r="M222" s="9" t="n">
        <v>0.053</v>
      </c>
      <c r="N222" s="9" t="n">
        <v>0.072</v>
      </c>
      <c r="O222" s="2" t="s">
        <v>1343</v>
      </c>
      <c r="P222" s="24" t="s">
        <v>1344</v>
      </c>
      <c r="Q222" s="24"/>
      <c r="R222" s="2" t="s">
        <v>1345</v>
      </c>
      <c r="S222" s="27" t="s">
        <v>1346</v>
      </c>
      <c r="XEH222" s="0"/>
      <c r="XEI222" s="0"/>
    </row>
    <row r="223" s="2" customFormat="true" ht="15.75" hidden="false" customHeight="true" outlineLevel="0" collapsed="false">
      <c r="A223" s="24" t="s">
        <v>1347</v>
      </c>
      <c r="B223" s="4" t="s">
        <v>1348</v>
      </c>
      <c r="C223" s="25"/>
      <c r="D223" s="12"/>
      <c r="E223" s="10" t="n">
        <v>12560</v>
      </c>
      <c r="F223" s="10" t="n">
        <v>965</v>
      </c>
      <c r="G223" s="13" t="n">
        <v>16.54</v>
      </c>
      <c r="H223" s="14" t="n">
        <f aca="false">VlrBack</f>
        <v>0.375692307692308</v>
      </c>
      <c r="I223" s="14" t="n">
        <f aca="false">VrlBack</f>
        <v>0.056</v>
      </c>
      <c r="J223" s="15" t="n">
        <v>152.3</v>
      </c>
      <c r="K223" s="15" t="n">
        <v>74.1</v>
      </c>
      <c r="L223" s="9"/>
      <c r="M223" s="9"/>
      <c r="N223" s="9"/>
      <c r="O223" s="2" t="s">
        <v>1349</v>
      </c>
      <c r="P223" s="24" t="s">
        <v>1350</v>
      </c>
      <c r="Q223" s="24"/>
      <c r="R223" s="2" t="s">
        <v>1351</v>
      </c>
      <c r="S223" s="27" t="s">
        <v>1352</v>
      </c>
      <c r="XEH223" s="0"/>
      <c r="XEI223" s="0"/>
    </row>
    <row r="224" s="2" customFormat="true" ht="46.5" hidden="false" customHeight="true" outlineLevel="0" collapsed="false">
      <c r="A224" s="24" t="s">
        <v>1353</v>
      </c>
      <c r="B224" s="4" t="s">
        <v>1354</v>
      </c>
      <c r="C224" s="25"/>
      <c r="D224" s="26" t="n">
        <v>0</v>
      </c>
      <c r="E224" s="10" t="n">
        <v>11120</v>
      </c>
      <c r="F224" s="10" t="n">
        <v>970</v>
      </c>
      <c r="G224" s="13"/>
      <c r="H224" s="14"/>
      <c r="I224" s="14"/>
      <c r="J224" s="15"/>
      <c r="K224" s="15"/>
      <c r="L224" s="9"/>
      <c r="M224" s="9"/>
      <c r="N224" s="9"/>
      <c r="O224" s="2" t="s">
        <v>1355</v>
      </c>
      <c r="P224" s="24" t="s">
        <v>1356</v>
      </c>
      <c r="Q224" s="24"/>
      <c r="R224" s="2" t="s">
        <v>1357</v>
      </c>
      <c r="S224" s="27" t="s">
        <v>1358</v>
      </c>
      <c r="XEH224" s="0"/>
      <c r="XEI224" s="0"/>
    </row>
    <row r="225" s="2" customFormat="true" ht="92.25" hidden="false" customHeight="true" outlineLevel="0" collapsed="false">
      <c r="A225" s="24" t="s">
        <v>1359</v>
      </c>
      <c r="B225" s="4" t="s">
        <v>1360</v>
      </c>
      <c r="C225" s="25"/>
      <c r="D225" s="12"/>
      <c r="E225" s="10" t="n">
        <v>6230</v>
      </c>
      <c r="F225" s="10" t="n">
        <v>780</v>
      </c>
      <c r="G225" s="13" t="n">
        <v>13.1</v>
      </c>
      <c r="H225" s="14" t="n">
        <f aca="false">VlrBack</f>
        <v>0.375692307692308</v>
      </c>
      <c r="I225" s="14" t="n">
        <f aca="false">VrlBack</f>
        <v>0.056</v>
      </c>
      <c r="J225" s="15" t="n">
        <v>88.3</v>
      </c>
      <c r="K225" s="15"/>
      <c r="L225" s="9" t="n">
        <v>0.027</v>
      </c>
      <c r="M225" s="9" t="n">
        <v>0.072</v>
      </c>
      <c r="N225" s="9" t="n">
        <v>0.095</v>
      </c>
      <c r="O225" s="2" t="s">
        <v>1361</v>
      </c>
      <c r="P225" s="24" t="s">
        <v>1362</v>
      </c>
      <c r="Q225" s="24"/>
      <c r="R225" s="2" t="s">
        <v>1363</v>
      </c>
      <c r="S225" s="27" t="s">
        <v>1364</v>
      </c>
      <c r="XEH225" s="0"/>
      <c r="XEI225" s="0"/>
    </row>
    <row r="226" s="2" customFormat="true" ht="46.5" hidden="false" customHeight="true" outlineLevel="0" collapsed="false">
      <c r="A226" s="24" t="s">
        <v>1365</v>
      </c>
      <c r="B226" s="4" t="s">
        <v>1366</v>
      </c>
      <c r="C226" s="25"/>
      <c r="D226" s="12"/>
      <c r="E226" s="10" t="n">
        <v>5260</v>
      </c>
      <c r="F226" s="10" t="n">
        <v>635</v>
      </c>
      <c r="G226" s="13" t="n">
        <v>11.65</v>
      </c>
      <c r="H226" s="14" t="n">
        <f aca="false">VlrBack</f>
        <v>0.375692307692308</v>
      </c>
      <c r="I226" s="14" t="n">
        <f aca="false">VrlBack</f>
        <v>0.056</v>
      </c>
      <c r="J226" s="15" t="n">
        <v>103.8</v>
      </c>
      <c r="K226" s="15" t="n">
        <v>57.1</v>
      </c>
      <c r="L226" s="9" t="n">
        <v>0.049</v>
      </c>
      <c r="M226" s="9" t="n">
        <v>0.069</v>
      </c>
      <c r="N226" s="9" t="n">
        <v>0.118</v>
      </c>
      <c r="O226" s="2" t="s">
        <v>1367</v>
      </c>
      <c r="P226" s="24" t="s">
        <v>1368</v>
      </c>
      <c r="Q226" s="24"/>
      <c r="R226" s="2" t="s">
        <v>1369</v>
      </c>
      <c r="S226" s="27" t="s">
        <v>1370</v>
      </c>
      <c r="XEH226" s="0"/>
      <c r="XEI226" s="0"/>
    </row>
    <row r="227" s="2" customFormat="true" ht="57.75" hidden="false" customHeight="true" outlineLevel="0" collapsed="false">
      <c r="A227" s="24" t="s">
        <v>1371</v>
      </c>
      <c r="B227" s="4" t="s">
        <v>1372</v>
      </c>
      <c r="C227" s="25"/>
      <c r="D227" s="12"/>
      <c r="E227" s="10" t="n">
        <v>16520</v>
      </c>
      <c r="F227" s="10" t="n">
        <v>1190</v>
      </c>
      <c r="G227" s="13" t="n">
        <v>15.67</v>
      </c>
      <c r="H227" s="14" t="n">
        <f aca="false">VlrBack</f>
        <v>0.375692307692308</v>
      </c>
      <c r="I227" s="14" t="n">
        <f aca="false">VrlBack</f>
        <v>0.056</v>
      </c>
      <c r="J227" s="15" t="n">
        <v>177.4</v>
      </c>
      <c r="K227" s="15" t="n">
        <v>74.7</v>
      </c>
      <c r="L227" s="9" t="n">
        <v>0.06</v>
      </c>
      <c r="M227" s="9" t="n">
        <v>0.08</v>
      </c>
      <c r="N227" s="9" t="n">
        <v>0.13</v>
      </c>
      <c r="O227" s="2" t="s">
        <v>1373</v>
      </c>
      <c r="P227" s="24" t="s">
        <v>1374</v>
      </c>
      <c r="Q227" s="24"/>
      <c r="R227" s="2" t="s">
        <v>1375</v>
      </c>
      <c r="S227" s="27" t="s">
        <v>1376</v>
      </c>
      <c r="XEH227" s="0"/>
      <c r="XEI227" s="0"/>
    </row>
    <row r="228" s="2" customFormat="true" ht="81" hidden="false" customHeight="true" outlineLevel="0" collapsed="false">
      <c r="A228" s="24" t="s">
        <v>1377</v>
      </c>
      <c r="B228" s="37" t="s">
        <v>1378</v>
      </c>
      <c r="C228" s="25"/>
      <c r="D228" s="26"/>
      <c r="E228" s="10" t="n">
        <v>16260</v>
      </c>
      <c r="F228" s="10" t="n">
        <v>1080</v>
      </c>
      <c r="G228" s="13" t="n">
        <v>24.38</v>
      </c>
      <c r="H228" s="14" t="n">
        <f aca="false">VlrBack</f>
        <v>0.375692307692308</v>
      </c>
      <c r="I228" s="14" t="n">
        <f aca="false">VrlBack</f>
        <v>0.056</v>
      </c>
      <c r="J228" s="15" t="n">
        <v>196.5</v>
      </c>
      <c r="K228" s="15" t="n">
        <v>105.3</v>
      </c>
      <c r="L228" s="9" t="n">
        <v>0.047</v>
      </c>
      <c r="M228" s="9" t="n">
        <v>0.076</v>
      </c>
      <c r="N228" s="9" t="n">
        <v>0.123</v>
      </c>
      <c r="O228" s="2" t="s">
        <v>1379</v>
      </c>
      <c r="P228" s="24" t="s">
        <v>1380</v>
      </c>
      <c r="Q228" s="24"/>
      <c r="R228" s="2" t="s">
        <v>1381</v>
      </c>
      <c r="S228" s="27" t="s">
        <v>741</v>
      </c>
      <c r="XEH228" s="0"/>
      <c r="XEI228" s="0"/>
    </row>
    <row r="229" s="2" customFormat="true" ht="15.75" hidden="false" customHeight="true" outlineLevel="0" collapsed="false">
      <c r="A229" s="24" t="s">
        <v>1382</v>
      </c>
      <c r="B229" s="4" t="s">
        <v>1383</v>
      </c>
      <c r="C229" s="25"/>
      <c r="D229" s="12"/>
      <c r="E229" s="10" t="n">
        <v>8600</v>
      </c>
      <c r="F229" s="10" t="n">
        <v>870</v>
      </c>
      <c r="G229" s="13" t="n">
        <v>17.59</v>
      </c>
      <c r="H229" s="14" t="n">
        <f aca="false">VlrBack</f>
        <v>0.375692307692308</v>
      </c>
      <c r="I229" s="14" t="n">
        <f aca="false">VrlBack</f>
        <v>0.056</v>
      </c>
      <c r="J229" s="15" t="n">
        <v>151.7</v>
      </c>
      <c r="K229" s="15" t="n">
        <v>80.7</v>
      </c>
      <c r="L229" s="9" t="n">
        <v>0.048</v>
      </c>
      <c r="M229" s="9" t="n">
        <v>0.081</v>
      </c>
      <c r="N229" s="9" t="n">
        <v>0.129</v>
      </c>
      <c r="O229" s="2" t="s">
        <v>1384</v>
      </c>
      <c r="P229" s="24" t="s">
        <v>1385</v>
      </c>
      <c r="Q229" s="24"/>
      <c r="R229" s="2" t="s">
        <v>1386</v>
      </c>
      <c r="S229" s="27" t="s">
        <v>1387</v>
      </c>
      <c r="XEH229" s="0"/>
      <c r="XEI229" s="0"/>
    </row>
    <row r="230" s="2" customFormat="true" ht="24" hidden="false" customHeight="true" outlineLevel="0" collapsed="false">
      <c r="A230" s="24" t="s">
        <v>1388</v>
      </c>
      <c r="B230" s="4" t="s">
        <v>1389</v>
      </c>
      <c r="C230" s="28" t="s">
        <v>62</v>
      </c>
      <c r="D230" s="12"/>
      <c r="E230" s="10" t="n">
        <v>2400</v>
      </c>
      <c r="F230" s="10" t="n">
        <v>465</v>
      </c>
      <c r="G230" s="13" t="n">
        <v>11.24</v>
      </c>
      <c r="H230" s="14" t="n">
        <v>0.485</v>
      </c>
      <c r="I230" s="14" t="n">
        <v>0.046</v>
      </c>
      <c r="J230" s="15" t="n">
        <v>77.9</v>
      </c>
      <c r="K230" s="15" t="n">
        <v>37.3</v>
      </c>
      <c r="L230" s="9" t="n">
        <v>0.042</v>
      </c>
      <c r="M230" s="9" t="n">
        <v>0.078</v>
      </c>
      <c r="N230" s="9" t="n">
        <v>0.124</v>
      </c>
      <c r="O230" s="2" t="s">
        <v>1390</v>
      </c>
      <c r="P230" s="24" t="s">
        <v>1391</v>
      </c>
      <c r="Q230" s="24"/>
      <c r="R230" s="2" t="s">
        <v>1392</v>
      </c>
      <c r="S230" s="27" t="s">
        <v>1393</v>
      </c>
      <c r="XEH230" s="0"/>
      <c r="XEI230" s="0"/>
    </row>
    <row r="231" s="2" customFormat="true" ht="24" hidden="false" customHeight="true" outlineLevel="0" collapsed="false">
      <c r="A231" s="24" t="s">
        <v>1394</v>
      </c>
      <c r="B231" s="4" t="s">
        <v>1395</v>
      </c>
      <c r="C231" s="28" t="s">
        <v>62</v>
      </c>
      <c r="D231" s="30" t="n">
        <v>0</v>
      </c>
      <c r="E231" s="38" t="n">
        <f aca="false">CONVERT(665, "lbf", "N")</f>
        <v>2958.06763</v>
      </c>
      <c r="F231" s="10" t="n">
        <v>400</v>
      </c>
      <c r="G231" s="13" t="n">
        <v>4.63</v>
      </c>
      <c r="H231" s="14" t="n">
        <f aca="false">VlrTop</f>
        <v>0.385571428571429</v>
      </c>
      <c r="I231" s="14" t="n">
        <f aca="false">VrlTop</f>
        <v>0.048</v>
      </c>
      <c r="J231" s="15" t="n">
        <v>60.59</v>
      </c>
      <c r="K231" s="15" t="n">
        <v>32.58</v>
      </c>
      <c r="L231" s="39" t="n">
        <v>0.033</v>
      </c>
      <c r="M231" s="39" t="n">
        <v>0.0465</v>
      </c>
      <c r="N231" s="9" t="n">
        <v>0.08</v>
      </c>
      <c r="O231" s="2" t="s">
        <v>1396</v>
      </c>
      <c r="P231" s="24" t="s">
        <v>1397</v>
      </c>
      <c r="Q231" s="24"/>
      <c r="R231" s="2" t="s">
        <v>1398</v>
      </c>
      <c r="S231" s="27" t="s">
        <v>1399</v>
      </c>
      <c r="XEH231" s="0"/>
      <c r="XEI231" s="0"/>
    </row>
    <row r="232" s="2" customFormat="true" ht="24" hidden="false" customHeight="true" outlineLevel="0" collapsed="false">
      <c r="A232" s="24" t="s">
        <v>1394</v>
      </c>
      <c r="B232" s="4" t="s">
        <v>1400</v>
      </c>
      <c r="C232" s="28" t="s">
        <v>62</v>
      </c>
      <c r="D232" s="12" t="n">
        <v>0</v>
      </c>
      <c r="E232" s="10" t="n">
        <v>3000</v>
      </c>
      <c r="F232" s="10" t="n">
        <v>440</v>
      </c>
      <c r="G232" s="13" t="n">
        <v>4.43</v>
      </c>
      <c r="H232" s="14" t="n">
        <f aca="false">VlrTop</f>
        <v>0.385571428571429</v>
      </c>
      <c r="I232" s="14" t="n">
        <f aca="false">VrlTop</f>
        <v>0.048</v>
      </c>
      <c r="J232" s="15" t="n">
        <v>61.5</v>
      </c>
      <c r="K232" s="15" t="n">
        <v>32.5</v>
      </c>
      <c r="L232" s="10"/>
      <c r="M232" s="10"/>
      <c r="N232" s="9" t="n">
        <v>0.08</v>
      </c>
      <c r="O232" s="2" t="s">
        <v>1396</v>
      </c>
      <c r="P232" s="24" t="s">
        <v>1397</v>
      </c>
      <c r="Q232" s="24"/>
      <c r="R232" s="2" t="s">
        <v>1398</v>
      </c>
      <c r="S232" s="27" t="s">
        <v>1399</v>
      </c>
      <c r="XEH232" s="0"/>
      <c r="XEI232" s="0"/>
    </row>
    <row r="233" s="2" customFormat="true" ht="15.75" hidden="false" customHeight="true" outlineLevel="0" collapsed="false">
      <c r="A233" s="24" t="s">
        <v>1401</v>
      </c>
      <c r="B233" s="4" t="s">
        <v>1402</v>
      </c>
      <c r="C233" s="28" t="s">
        <v>62</v>
      </c>
      <c r="D233" s="12"/>
      <c r="E233" s="10" t="n">
        <v>3690</v>
      </c>
      <c r="F233" s="10" t="n">
        <v>575</v>
      </c>
      <c r="G233" s="13" t="n">
        <v>12.9</v>
      </c>
      <c r="H233" s="14" t="n">
        <v>0.355</v>
      </c>
      <c r="I233" s="14" t="n">
        <v>0.056</v>
      </c>
      <c r="J233" s="15" t="n">
        <v>89.7</v>
      </c>
      <c r="K233" s="15" t="n">
        <v>52.6</v>
      </c>
      <c r="L233" s="9" t="n">
        <v>0.045</v>
      </c>
      <c r="M233" s="9" t="n">
        <v>0.091</v>
      </c>
      <c r="N233" s="9" t="n">
        <v>0.14</v>
      </c>
      <c r="O233" s="2" t="s">
        <v>1403</v>
      </c>
      <c r="P233" s="24" t="s">
        <v>1404</v>
      </c>
      <c r="Q233" s="24"/>
      <c r="R233" s="2" t="s">
        <v>1405</v>
      </c>
      <c r="S233" s="27" t="s">
        <v>1406</v>
      </c>
      <c r="XEH233" s="0"/>
      <c r="XEI233" s="0"/>
    </row>
    <row r="234" s="2" customFormat="true" ht="24" hidden="false" customHeight="true" outlineLevel="0" collapsed="false">
      <c r="A234" s="24" t="s">
        <v>1407</v>
      </c>
      <c r="B234" s="4" t="s">
        <v>1408</v>
      </c>
      <c r="C234" s="28" t="s">
        <v>62</v>
      </c>
      <c r="D234" s="12"/>
      <c r="E234" s="10" t="n">
        <v>1560</v>
      </c>
      <c r="F234" s="10" t="n">
        <v>370</v>
      </c>
      <c r="G234" s="13" t="n">
        <v>7.66</v>
      </c>
      <c r="H234" s="14" t="n">
        <v>0.378</v>
      </c>
      <c r="I234" s="14" t="n">
        <v>0.046</v>
      </c>
      <c r="J234" s="15" t="n">
        <v>51.7</v>
      </c>
      <c r="K234" s="15" t="n">
        <v>31.4</v>
      </c>
      <c r="L234" s="9" t="n">
        <v>0.024</v>
      </c>
      <c r="M234" s="9" t="n">
        <v>0.05</v>
      </c>
      <c r="N234" s="9" t="n">
        <v>0.068</v>
      </c>
      <c r="O234" s="2" t="s">
        <v>1409</v>
      </c>
      <c r="P234" s="24" t="s">
        <v>1410</v>
      </c>
      <c r="Q234" s="24"/>
      <c r="R234" s="2" t="s">
        <v>1411</v>
      </c>
      <c r="S234" s="27" t="s">
        <v>1412</v>
      </c>
      <c r="XEH234" s="0"/>
      <c r="XEI234" s="0"/>
    </row>
    <row r="235" s="2" customFormat="true" ht="35.25" hidden="false" customHeight="true" outlineLevel="0" collapsed="false">
      <c r="A235" s="24" t="s">
        <v>1413</v>
      </c>
      <c r="B235" s="4" t="s">
        <v>1414</v>
      </c>
      <c r="C235" s="28" t="s">
        <v>62</v>
      </c>
      <c r="D235" s="12"/>
      <c r="E235" s="10" t="n">
        <v>1870</v>
      </c>
      <c r="F235" s="10" t="n">
        <v>435</v>
      </c>
      <c r="G235" s="13" t="n">
        <v>10.07</v>
      </c>
      <c r="H235" s="14" t="n">
        <v>0.329</v>
      </c>
      <c r="I235" s="14" t="n">
        <v>0.046</v>
      </c>
      <c r="J235" s="15" t="n">
        <v>66.9</v>
      </c>
      <c r="K235" s="15" t="n">
        <v>34.8</v>
      </c>
      <c r="L235" s="9" t="n">
        <v>0.041</v>
      </c>
      <c r="M235" s="9" t="n">
        <v>0.074</v>
      </c>
      <c r="N235" s="9" t="n">
        <v>0.118</v>
      </c>
      <c r="O235" s="2" t="s">
        <v>1415</v>
      </c>
      <c r="P235" s="24" t="s">
        <v>1416</v>
      </c>
      <c r="Q235" s="24"/>
      <c r="R235" s="2" t="s">
        <v>1417</v>
      </c>
      <c r="S235" s="27" t="s">
        <v>1418</v>
      </c>
      <c r="XEH235" s="0"/>
      <c r="XEI235" s="0"/>
    </row>
    <row r="236" s="2" customFormat="true" ht="35.25" hidden="false" customHeight="true" outlineLevel="0" collapsed="false">
      <c r="A236" s="24" t="s">
        <v>1419</v>
      </c>
      <c r="B236" s="4" t="s">
        <v>1420</v>
      </c>
      <c r="C236" s="25"/>
      <c r="D236" s="26" t="n">
        <v>0.67</v>
      </c>
      <c r="E236" s="10" t="n">
        <v>5870</v>
      </c>
      <c r="F236" s="10" t="n">
        <v>675</v>
      </c>
      <c r="G236" s="13" t="n">
        <v>12</v>
      </c>
      <c r="H236" s="14" t="n">
        <v>0.371</v>
      </c>
      <c r="I236" s="14" t="n">
        <v>0.059</v>
      </c>
      <c r="J236" s="15" t="n">
        <v>103.5</v>
      </c>
      <c r="K236" s="15" t="n">
        <v>51.1</v>
      </c>
      <c r="L236" s="9" t="n">
        <v>0.049</v>
      </c>
      <c r="M236" s="9" t="n">
        <v>0.078</v>
      </c>
      <c r="N236" s="9" t="n">
        <v>0.133</v>
      </c>
      <c r="O236" s="2" t="s">
        <v>1421</v>
      </c>
      <c r="P236" s="24" t="s">
        <v>1422</v>
      </c>
      <c r="Q236" s="24"/>
      <c r="R236" s="2" t="s">
        <v>1423</v>
      </c>
      <c r="S236" s="27" t="s">
        <v>1424</v>
      </c>
      <c r="XEH236" s="0"/>
      <c r="XEI236" s="0"/>
    </row>
    <row r="237" s="2" customFormat="true" ht="15.75" hidden="false" customHeight="true" outlineLevel="0" collapsed="false">
      <c r="A237" s="24" t="s">
        <v>1425</v>
      </c>
      <c r="B237" s="4" t="s">
        <v>1426</v>
      </c>
      <c r="C237" s="28" t="s">
        <v>62</v>
      </c>
      <c r="D237" s="12"/>
      <c r="E237" s="10" t="n">
        <v>2140</v>
      </c>
      <c r="F237" s="10" t="n">
        <v>415</v>
      </c>
      <c r="G237" s="13" t="n">
        <v>10.24</v>
      </c>
      <c r="H237" s="14" t="n">
        <f aca="false">VlrTop</f>
        <v>0.385571428571429</v>
      </c>
      <c r="I237" s="14" t="n">
        <f aca="false">VrlTop</f>
        <v>0.048</v>
      </c>
      <c r="J237" s="15" t="n">
        <v>66.9</v>
      </c>
      <c r="K237" s="15" t="n">
        <v>39.6</v>
      </c>
      <c r="L237" s="9" t="n">
        <v>0.033</v>
      </c>
      <c r="M237" s="9" t="n">
        <v>0.07</v>
      </c>
      <c r="N237" s="9" t="n">
        <v>0.098</v>
      </c>
      <c r="O237" s="2" t="s">
        <v>1427</v>
      </c>
      <c r="P237" s="24" t="s">
        <v>1428</v>
      </c>
      <c r="Q237" s="24"/>
      <c r="R237" s="2" t="s">
        <v>1429</v>
      </c>
      <c r="S237" s="27" t="s">
        <v>1430</v>
      </c>
      <c r="XEH237" s="0"/>
      <c r="XEI237" s="0"/>
    </row>
    <row r="238" s="2" customFormat="true" ht="35.25" hidden="false" customHeight="true" outlineLevel="0" collapsed="false">
      <c r="A238" s="24" t="s">
        <v>1431</v>
      </c>
      <c r="B238" s="4" t="s">
        <v>1432</v>
      </c>
      <c r="C238" s="25"/>
      <c r="D238" s="26" t="n">
        <v>0.91</v>
      </c>
      <c r="E238" s="10" t="n">
        <v>5990</v>
      </c>
      <c r="F238" s="10" t="n">
        <v>755</v>
      </c>
      <c r="G238" s="13" t="n">
        <v>12.15</v>
      </c>
      <c r="H238" s="14" t="n">
        <v>0.369</v>
      </c>
      <c r="I238" s="14" t="n">
        <v>0.074</v>
      </c>
      <c r="J238" s="15" t="n">
        <v>102.3</v>
      </c>
      <c r="K238" s="15" t="n">
        <v>50.8</v>
      </c>
      <c r="L238" s="9" t="n">
        <v>0.056</v>
      </c>
      <c r="M238" s="9" t="n">
        <v>0.105</v>
      </c>
      <c r="N238" s="9" t="n">
        <v>0.163</v>
      </c>
      <c r="O238" s="2" t="s">
        <v>1433</v>
      </c>
      <c r="P238" s="24" t="s">
        <v>1434</v>
      </c>
      <c r="Q238" s="24"/>
      <c r="R238" s="2" t="s">
        <v>1435</v>
      </c>
      <c r="S238" s="27" t="s">
        <v>1436</v>
      </c>
      <c r="XEH238" s="0"/>
      <c r="XEI238" s="0"/>
    </row>
    <row r="239" s="2" customFormat="true" ht="24" hidden="false" customHeight="true" outlineLevel="0" collapsed="false">
      <c r="A239" s="24" t="s">
        <v>1437</v>
      </c>
      <c r="B239" s="4" t="s">
        <v>1438</v>
      </c>
      <c r="C239" s="25"/>
      <c r="D239" s="12" t="s">
        <v>1439</v>
      </c>
      <c r="E239" s="10" t="n">
        <v>1820</v>
      </c>
      <c r="F239" s="10" t="n">
        <v>440</v>
      </c>
      <c r="G239" s="13" t="n">
        <v>8.9</v>
      </c>
      <c r="H239" s="14" t="n">
        <v>0.344</v>
      </c>
      <c r="I239" s="14" t="n">
        <v>0.043</v>
      </c>
      <c r="J239" s="15" t="n">
        <v>65</v>
      </c>
      <c r="K239" s="15" t="s">
        <v>1440</v>
      </c>
      <c r="L239" s="9" t="n">
        <v>0.032</v>
      </c>
      <c r="M239" s="9" t="n">
        <v>0.052</v>
      </c>
      <c r="N239" s="9" t="n">
        <v>0.084</v>
      </c>
      <c r="O239" s="2" t="s">
        <v>1441</v>
      </c>
      <c r="P239" s="24" t="s">
        <v>1442</v>
      </c>
      <c r="Q239" s="24"/>
      <c r="R239" s="2" t="s">
        <v>1443</v>
      </c>
      <c r="S239" s="27" t="s">
        <v>1444</v>
      </c>
      <c r="XEH239" s="0"/>
      <c r="XEI239" s="0"/>
    </row>
    <row r="240" s="2" customFormat="true" ht="15.75" hidden="false" customHeight="true" outlineLevel="0" collapsed="false">
      <c r="A240" s="24" t="s">
        <v>1445</v>
      </c>
      <c r="B240" s="4" t="s">
        <v>1446</v>
      </c>
      <c r="C240" s="28" t="s">
        <v>62</v>
      </c>
      <c r="D240" s="12"/>
      <c r="E240" s="10" t="n">
        <v>2140</v>
      </c>
      <c r="F240" s="10" t="n">
        <v>425</v>
      </c>
      <c r="G240" s="13" t="n">
        <v>9.07</v>
      </c>
      <c r="H240" s="14" t="n">
        <v>0.372</v>
      </c>
      <c r="I240" s="14" t="n">
        <v>0.04</v>
      </c>
      <c r="J240" s="15" t="n">
        <v>59.6</v>
      </c>
      <c r="K240" s="15" t="n">
        <v>32.6</v>
      </c>
      <c r="L240" s="9" t="n">
        <v>0.047</v>
      </c>
      <c r="M240" s="9" t="n">
        <v>0.082</v>
      </c>
      <c r="N240" s="9" t="n">
        <v>0.137</v>
      </c>
      <c r="O240" s="2" t="s">
        <v>1447</v>
      </c>
      <c r="P240" s="24" t="s">
        <v>1448</v>
      </c>
      <c r="Q240" s="24"/>
      <c r="R240" s="2" t="s">
        <v>1449</v>
      </c>
      <c r="S240" s="27" t="s">
        <v>1450</v>
      </c>
      <c r="XEH240" s="0"/>
      <c r="XEI240" s="0"/>
    </row>
    <row r="241" s="2" customFormat="true" ht="15.75" hidden="false" customHeight="true" outlineLevel="0" collapsed="false">
      <c r="A241" s="24" t="s">
        <v>1451</v>
      </c>
      <c r="B241" s="4" t="s">
        <v>1452</v>
      </c>
      <c r="C241" s="25"/>
      <c r="D241" s="12" t="n">
        <v>0.73</v>
      </c>
      <c r="E241" s="10" t="n">
        <v>2530</v>
      </c>
      <c r="F241" s="10" t="n">
        <v>400</v>
      </c>
      <c r="G241" s="13" t="n">
        <v>7.76</v>
      </c>
      <c r="H241" s="14" t="n">
        <f aca="false">VlrTop</f>
        <v>0.385571428571429</v>
      </c>
      <c r="I241" s="14" t="n">
        <f aca="false">VrlTop</f>
        <v>0.048</v>
      </c>
      <c r="J241" s="15" t="n">
        <v>56.2</v>
      </c>
      <c r="K241" s="15" t="n">
        <v>26.9</v>
      </c>
      <c r="L241" s="9" t="n">
        <v>0.042</v>
      </c>
      <c r="M241" s="9" t="n">
        <v>0.072</v>
      </c>
      <c r="N241" s="9" t="n">
        <v>0.115</v>
      </c>
      <c r="O241" s="2" t="s">
        <v>271</v>
      </c>
      <c r="P241" s="24" t="s">
        <v>1453</v>
      </c>
      <c r="Q241" s="24"/>
      <c r="R241" s="2" t="s">
        <v>1454</v>
      </c>
      <c r="S241" s="27" t="s">
        <v>1455</v>
      </c>
      <c r="XEH241" s="0"/>
      <c r="XEI241" s="0"/>
    </row>
    <row r="242" s="2" customFormat="true" ht="24" hidden="false" customHeight="true" outlineLevel="0" collapsed="false">
      <c r="A242" s="24" t="s">
        <v>1456</v>
      </c>
      <c r="B242" s="4" t="s">
        <v>1457</v>
      </c>
      <c r="C242" s="25"/>
      <c r="D242" s="12" t="n">
        <v>0.72</v>
      </c>
      <c r="E242" s="10" t="n">
        <v>5610</v>
      </c>
      <c r="F242" s="10" t="n">
        <v>690</v>
      </c>
      <c r="G242" s="13" t="n">
        <v>13.86</v>
      </c>
      <c r="H242" s="14" t="n">
        <v>0.426</v>
      </c>
      <c r="I242" s="14" t="n">
        <v>0.043</v>
      </c>
      <c r="J242" s="15" t="n">
        <v>114.5</v>
      </c>
      <c r="K242" s="15" t="n">
        <v>56.3</v>
      </c>
      <c r="L242" s="9" t="n">
        <v>0.073</v>
      </c>
      <c r="M242" s="9" t="n">
        <v>0.095</v>
      </c>
      <c r="N242" s="9" t="n">
        <v>0.168</v>
      </c>
      <c r="O242" s="2" t="s">
        <v>1458</v>
      </c>
      <c r="P242" s="24" t="s">
        <v>1459</v>
      </c>
      <c r="Q242" s="24"/>
      <c r="R242" s="2" t="s">
        <v>1460</v>
      </c>
      <c r="S242" s="27" t="s">
        <v>1461</v>
      </c>
      <c r="XEH242" s="0"/>
      <c r="XEI242" s="0"/>
    </row>
    <row r="243" s="2" customFormat="true" ht="35.25" hidden="false" customHeight="true" outlineLevel="0" collapsed="false">
      <c r="A243" s="24" t="s">
        <v>1462</v>
      </c>
      <c r="B243" s="4" t="s">
        <v>1463</v>
      </c>
      <c r="C243" s="25"/>
      <c r="D243" s="12"/>
      <c r="E243" s="10" t="n">
        <v>1420</v>
      </c>
      <c r="F243" s="10" t="n">
        <v>400</v>
      </c>
      <c r="G243" s="13" t="n">
        <v>8.07</v>
      </c>
      <c r="H243" s="14" t="n">
        <f aca="false">VlrTop</f>
        <v>0.385571428571429</v>
      </c>
      <c r="I243" s="14" t="n">
        <f aca="false">VrlTop</f>
        <v>0.048</v>
      </c>
      <c r="J243" s="15" t="n">
        <v>51.7</v>
      </c>
      <c r="K243" s="15" t="n">
        <v>28.8</v>
      </c>
      <c r="L243" s="9" t="n">
        <v>0.036</v>
      </c>
      <c r="M243" s="9" t="n">
        <v>0.081</v>
      </c>
      <c r="N243" s="9" t="n">
        <v>0.125</v>
      </c>
      <c r="O243" s="2" t="s">
        <v>1464</v>
      </c>
      <c r="P243" s="24" t="s">
        <v>1465</v>
      </c>
      <c r="Q243" s="24"/>
      <c r="R243" s="2" t="s">
        <v>1466</v>
      </c>
      <c r="S243" s="27" t="s">
        <v>1467</v>
      </c>
      <c r="XEH243" s="0"/>
      <c r="XEI243" s="0"/>
    </row>
    <row r="244" s="2" customFormat="true" ht="35.25" hidden="false" customHeight="true" outlineLevel="0" collapsed="false">
      <c r="A244" s="24" t="s">
        <v>1468</v>
      </c>
      <c r="B244" s="4" t="s">
        <v>1469</v>
      </c>
      <c r="C244" s="25"/>
      <c r="D244" s="12"/>
      <c r="E244" s="10" t="n">
        <v>7950</v>
      </c>
      <c r="F244" s="10" t="n">
        <v>825</v>
      </c>
      <c r="G244" s="13" t="n">
        <v>16.64</v>
      </c>
      <c r="H244" s="14" t="n">
        <f aca="false">VlrBack</f>
        <v>0.375692307692308</v>
      </c>
      <c r="I244" s="14" t="n">
        <f aca="false">VrlBack</f>
        <v>0.056</v>
      </c>
      <c r="J244" s="15" t="n">
        <v>115.9</v>
      </c>
      <c r="K244" s="15" t="n">
        <v>69.5</v>
      </c>
      <c r="L244" s="9" t="n">
        <v>0.056</v>
      </c>
      <c r="M244" s="9" t="n">
        <v>0.067</v>
      </c>
      <c r="N244" s="9" t="n">
        <v>0.12</v>
      </c>
      <c r="O244" s="2" t="s">
        <v>1470</v>
      </c>
      <c r="P244" s="24" t="s">
        <v>1471</v>
      </c>
      <c r="Q244" s="24"/>
      <c r="R244" s="2" t="s">
        <v>1472</v>
      </c>
      <c r="S244" s="27" t="s">
        <v>1473</v>
      </c>
      <c r="XEH244" s="0"/>
      <c r="XEI244" s="0"/>
    </row>
    <row r="245" s="2" customFormat="true" ht="57.75" hidden="false" customHeight="true" outlineLevel="0" collapsed="false">
      <c r="A245" s="24" t="s">
        <v>1474</v>
      </c>
      <c r="B245" s="4" t="s">
        <v>1475</v>
      </c>
      <c r="C245" s="25"/>
      <c r="D245" s="26" t="n">
        <v>0</v>
      </c>
      <c r="E245" s="10" t="n">
        <v>5400</v>
      </c>
      <c r="F245" s="10" t="n">
        <v>680</v>
      </c>
      <c r="G245" s="13" t="n">
        <v>7.76</v>
      </c>
      <c r="H245" s="14" t="n">
        <f aca="false">VlrBack</f>
        <v>0.375692307692308</v>
      </c>
      <c r="I245" s="14" t="n">
        <f aca="false">VrlBack</f>
        <v>0.056</v>
      </c>
      <c r="J245" s="15" t="n">
        <v>70.1</v>
      </c>
      <c r="K245" s="15" t="n">
        <v>36.2</v>
      </c>
      <c r="L245" s="9" t="n">
        <v>0.05</v>
      </c>
      <c r="M245" s="9" t="n">
        <v>0.068</v>
      </c>
      <c r="N245" s="9" t="n">
        <v>0.099</v>
      </c>
      <c r="O245" s="2" t="s">
        <v>1476</v>
      </c>
      <c r="P245" s="24" t="s">
        <v>1477</v>
      </c>
      <c r="Q245" s="24"/>
      <c r="R245" s="2" t="s">
        <v>1478</v>
      </c>
      <c r="S245" s="27" t="s">
        <v>894</v>
      </c>
      <c r="XEH245" s="0"/>
      <c r="XEI245" s="0"/>
    </row>
    <row r="246" s="2" customFormat="true" ht="46.5" hidden="false" customHeight="true" outlineLevel="0" collapsed="false">
      <c r="A246" s="24" t="s">
        <v>1479</v>
      </c>
      <c r="B246" s="4" t="s">
        <v>1480</v>
      </c>
      <c r="C246" s="25"/>
      <c r="D246" s="12"/>
      <c r="E246" s="10" t="n">
        <v>8160</v>
      </c>
      <c r="F246" s="10" t="n">
        <v>805</v>
      </c>
      <c r="G246" s="13" t="n">
        <v>16.37</v>
      </c>
      <c r="H246" s="14" t="n">
        <f aca="false">VlrBack</f>
        <v>0.375692307692308</v>
      </c>
      <c r="I246" s="14" t="n">
        <f aca="false">VrlBack</f>
        <v>0.056</v>
      </c>
      <c r="J246" s="15" t="n">
        <v>122.8</v>
      </c>
      <c r="K246" s="15" t="n">
        <v>63.5</v>
      </c>
      <c r="L246" s="9" t="n">
        <v>0.076</v>
      </c>
      <c r="M246" s="9" t="n">
        <v>0.108</v>
      </c>
      <c r="N246" s="9" t="n">
        <v>0.178</v>
      </c>
      <c r="O246" s="2" t="s">
        <v>1481</v>
      </c>
      <c r="P246" s="24" t="s">
        <v>1482</v>
      </c>
      <c r="Q246" s="24"/>
      <c r="R246" s="2" t="s">
        <v>1483</v>
      </c>
      <c r="S246" s="27" t="s">
        <v>1484</v>
      </c>
      <c r="XEH246" s="0"/>
      <c r="XEI246" s="0"/>
    </row>
    <row r="247" s="2" customFormat="true" ht="24" hidden="false" customHeight="true" outlineLevel="0" collapsed="false">
      <c r="A247" s="24" t="s">
        <v>1485</v>
      </c>
      <c r="B247" s="4" t="s">
        <v>1486</v>
      </c>
      <c r="C247" s="25"/>
      <c r="D247" s="12" t="s">
        <v>1439</v>
      </c>
      <c r="E247" s="10" t="n">
        <v>8780</v>
      </c>
      <c r="F247" s="10" t="n">
        <v>805</v>
      </c>
      <c r="G247" s="13" t="n">
        <v>10.93</v>
      </c>
      <c r="H247" s="14" t="n">
        <f aca="false">VlrBack</f>
        <v>0.375692307692308</v>
      </c>
      <c r="I247" s="14" t="n">
        <f aca="false">VrlBack</f>
        <v>0.056</v>
      </c>
      <c r="J247" s="15" t="n">
        <v>113.1</v>
      </c>
      <c r="K247" s="15" t="n">
        <v>63.9</v>
      </c>
      <c r="L247" s="9" t="n">
        <v>0.035</v>
      </c>
      <c r="M247" s="9" t="n">
        <v>0.067</v>
      </c>
      <c r="N247" s="9" t="n">
        <v>0.098</v>
      </c>
      <c r="O247" s="2" t="s">
        <v>1487</v>
      </c>
      <c r="P247" s="24" t="s">
        <v>1488</v>
      </c>
      <c r="Q247" s="24"/>
      <c r="R247" s="2" t="s">
        <v>1489</v>
      </c>
      <c r="S247" s="27" t="s">
        <v>1490</v>
      </c>
      <c r="XEH247" s="0"/>
      <c r="XEI247" s="0"/>
    </row>
    <row r="248" customFormat="false" ht="15.75" hidden="false" customHeight="true" outlineLevel="0" collapsed="false">
      <c r="B248" s="40"/>
      <c r="C248" s="41"/>
      <c r="D248" s="42"/>
      <c r="E248" s="40"/>
      <c r="F248" s="43"/>
      <c r="G248" s="44"/>
      <c r="H248" s="45"/>
      <c r="I248" s="45"/>
      <c r="J248" s="46"/>
      <c r="K248" s="47"/>
      <c r="L248" s="48"/>
      <c r="M248" s="48"/>
      <c r="N248" s="48"/>
      <c r="S248" s="49"/>
    </row>
    <row r="249" customFormat="false" ht="15.75" hidden="false" customHeight="true" outlineLevel="0" collapsed="false">
      <c r="B249" s="40"/>
      <c r="C249" s="41"/>
      <c r="D249" s="42"/>
      <c r="E249" s="40"/>
      <c r="F249" s="43"/>
      <c r="G249" s="44"/>
      <c r="H249" s="45"/>
      <c r="I249" s="45"/>
      <c r="J249" s="46"/>
      <c r="K249" s="47"/>
      <c r="L249" s="48"/>
      <c r="M249" s="48"/>
      <c r="N249" s="48"/>
      <c r="S249" s="49"/>
    </row>
    <row r="250" customFormat="false" ht="15.75" hidden="false" customHeight="true" outlineLevel="0" collapsed="false">
      <c r="B250" s="40"/>
      <c r="C250" s="41"/>
      <c r="D250" s="42"/>
      <c r="E250" s="40"/>
      <c r="F250" s="43"/>
      <c r="G250" s="44"/>
      <c r="H250" s="45"/>
      <c r="I250" s="45"/>
      <c r="J250" s="46"/>
      <c r="K250" s="47"/>
      <c r="L250" s="48"/>
      <c r="M250" s="48"/>
      <c r="N250" s="48"/>
      <c r="S250" s="49"/>
    </row>
    <row r="251" customFormat="false" ht="15.75" hidden="false" customHeight="true" outlineLevel="0" collapsed="false">
      <c r="B251" s="40"/>
      <c r="C251" s="41"/>
      <c r="D251" s="42"/>
      <c r="E251" s="40"/>
      <c r="F251" s="43"/>
      <c r="G251" s="44"/>
      <c r="H251" s="45"/>
      <c r="I251" s="45"/>
      <c r="J251" s="46"/>
      <c r="K251" s="47"/>
      <c r="L251" s="48"/>
      <c r="M251" s="48"/>
      <c r="N251" s="48"/>
      <c r="S251" s="49"/>
    </row>
    <row r="252" customFormat="false" ht="15.75" hidden="false" customHeight="true" outlineLevel="0" collapsed="false">
      <c r="B252" s="40"/>
      <c r="C252" s="41"/>
      <c r="D252" s="42"/>
      <c r="E252" s="40"/>
      <c r="F252" s="43"/>
      <c r="G252" s="44"/>
      <c r="H252" s="45"/>
      <c r="I252" s="45"/>
      <c r="J252" s="46"/>
      <c r="K252" s="47"/>
      <c r="L252" s="48"/>
      <c r="M252" s="48"/>
      <c r="N252" s="48"/>
      <c r="S252" s="49"/>
    </row>
    <row r="253" customFormat="false" ht="15.75" hidden="false" customHeight="true" outlineLevel="0" collapsed="false">
      <c r="B253" s="40"/>
      <c r="C253" s="41"/>
      <c r="D253" s="42"/>
      <c r="E253" s="40"/>
      <c r="F253" s="43"/>
      <c r="G253" s="44"/>
      <c r="H253" s="45"/>
      <c r="I253" s="45"/>
      <c r="J253" s="46"/>
      <c r="K253" s="47"/>
      <c r="L253" s="48"/>
      <c r="M253" s="48"/>
      <c r="N253" s="48"/>
      <c r="S253" s="49"/>
    </row>
    <row r="254" customFormat="false" ht="15.75" hidden="false" customHeight="true" outlineLevel="0" collapsed="false">
      <c r="B254" s="40"/>
      <c r="C254" s="41"/>
      <c r="D254" s="42"/>
      <c r="E254" s="40"/>
      <c r="F254" s="43"/>
      <c r="G254" s="44"/>
      <c r="H254" s="45"/>
      <c r="I254" s="45"/>
      <c r="J254" s="46"/>
      <c r="K254" s="47"/>
      <c r="L254" s="48"/>
      <c r="M254" s="48"/>
      <c r="N254" s="48"/>
      <c r="S254" s="49"/>
    </row>
    <row r="255" customFormat="false" ht="15.75" hidden="false" customHeight="true" outlineLevel="0" collapsed="false">
      <c r="B255" s="40"/>
      <c r="C255" s="41"/>
      <c r="D255" s="42"/>
      <c r="E255" s="40"/>
      <c r="F255" s="43"/>
      <c r="G255" s="44"/>
      <c r="H255" s="45"/>
      <c r="I255" s="45"/>
      <c r="J255" s="46"/>
      <c r="K255" s="47"/>
      <c r="L255" s="48"/>
      <c r="M255" s="48"/>
      <c r="N255" s="48"/>
      <c r="S255" s="49"/>
    </row>
    <row r="256" customFormat="false" ht="15.75" hidden="false" customHeight="true" outlineLevel="0" collapsed="false">
      <c r="B256" s="40"/>
      <c r="C256" s="41"/>
      <c r="D256" s="42"/>
      <c r="E256" s="40"/>
      <c r="F256" s="43"/>
      <c r="G256" s="44"/>
      <c r="H256" s="45"/>
      <c r="I256" s="45"/>
      <c r="J256" s="46"/>
      <c r="K256" s="47"/>
      <c r="L256" s="48"/>
      <c r="M256" s="48"/>
      <c r="N256" s="48"/>
      <c r="S256" s="49"/>
    </row>
    <row r="257" customFormat="false" ht="15.75" hidden="false" customHeight="true" outlineLevel="0" collapsed="false">
      <c r="B257" s="40"/>
      <c r="C257" s="41"/>
      <c r="D257" s="42"/>
      <c r="E257" s="40"/>
      <c r="F257" s="43"/>
      <c r="G257" s="44"/>
      <c r="H257" s="45"/>
      <c r="I257" s="45"/>
      <c r="J257" s="46"/>
      <c r="K257" s="47"/>
      <c r="L257" s="48"/>
      <c r="M257" s="48"/>
      <c r="N257" s="48"/>
      <c r="S257" s="49"/>
    </row>
    <row r="258" customFormat="false" ht="15.75" hidden="false" customHeight="true" outlineLevel="0" collapsed="false">
      <c r="B258" s="40"/>
      <c r="C258" s="41"/>
      <c r="D258" s="42"/>
      <c r="E258" s="40"/>
      <c r="F258" s="43"/>
      <c r="G258" s="44"/>
      <c r="H258" s="45"/>
      <c r="I258" s="45"/>
      <c r="J258" s="46"/>
      <c r="K258" s="47"/>
      <c r="L258" s="48"/>
      <c r="M258" s="48"/>
      <c r="N258" s="48"/>
      <c r="S258" s="49"/>
    </row>
    <row r="259" customFormat="false" ht="15.75" hidden="false" customHeight="true" outlineLevel="0" collapsed="false">
      <c r="B259" s="40"/>
      <c r="C259" s="41"/>
      <c r="D259" s="42"/>
      <c r="E259" s="40"/>
      <c r="F259" s="43"/>
      <c r="G259" s="44"/>
      <c r="H259" s="45"/>
      <c r="I259" s="45"/>
      <c r="J259" s="46"/>
      <c r="K259" s="47"/>
      <c r="L259" s="48"/>
      <c r="M259" s="48"/>
      <c r="N259" s="48"/>
      <c r="S259" s="49"/>
    </row>
    <row r="260" customFormat="false" ht="15.75" hidden="false" customHeight="true" outlineLevel="0" collapsed="false">
      <c r="B260" s="40"/>
      <c r="C260" s="41"/>
      <c r="D260" s="42"/>
      <c r="E260" s="40"/>
      <c r="F260" s="43"/>
      <c r="G260" s="44"/>
      <c r="H260" s="45"/>
      <c r="I260" s="45"/>
      <c r="J260" s="46"/>
      <c r="K260" s="47"/>
      <c r="L260" s="48"/>
      <c r="M260" s="48"/>
      <c r="N260" s="48"/>
      <c r="S260" s="49"/>
    </row>
    <row r="261" customFormat="false" ht="15.75" hidden="false" customHeight="true" outlineLevel="0" collapsed="false">
      <c r="B261" s="40"/>
      <c r="C261" s="41"/>
      <c r="D261" s="42"/>
      <c r="E261" s="40"/>
      <c r="F261" s="43"/>
      <c r="G261" s="44"/>
      <c r="H261" s="45"/>
      <c r="I261" s="45"/>
      <c r="J261" s="46"/>
      <c r="K261" s="47"/>
      <c r="L261" s="48"/>
      <c r="M261" s="48"/>
      <c r="N261" s="48"/>
      <c r="S261" s="49"/>
    </row>
    <row r="262" customFormat="false" ht="15.75" hidden="false" customHeight="true" outlineLevel="0" collapsed="false">
      <c r="B262" s="40"/>
      <c r="C262" s="41"/>
      <c r="D262" s="42"/>
      <c r="E262" s="40"/>
      <c r="F262" s="43"/>
      <c r="G262" s="44"/>
      <c r="H262" s="45"/>
      <c r="I262" s="45"/>
      <c r="J262" s="46"/>
      <c r="K262" s="47"/>
      <c r="L262" s="48"/>
      <c r="M262" s="48"/>
      <c r="N262" s="48"/>
      <c r="S262" s="49"/>
    </row>
    <row r="263" customFormat="false" ht="15.75" hidden="false" customHeight="true" outlineLevel="0" collapsed="false">
      <c r="B263" s="40"/>
      <c r="C263" s="41"/>
      <c r="D263" s="42"/>
      <c r="E263" s="40"/>
      <c r="F263" s="43"/>
      <c r="G263" s="44"/>
      <c r="H263" s="45"/>
      <c r="I263" s="45"/>
      <c r="J263" s="46"/>
      <c r="K263" s="47"/>
      <c r="L263" s="48"/>
      <c r="M263" s="48"/>
      <c r="N263" s="48"/>
      <c r="S263" s="49"/>
    </row>
    <row r="264" customFormat="false" ht="15.75" hidden="false" customHeight="true" outlineLevel="0" collapsed="false">
      <c r="B264" s="40"/>
      <c r="C264" s="41"/>
      <c r="D264" s="42"/>
      <c r="E264" s="40"/>
      <c r="F264" s="43"/>
      <c r="G264" s="44"/>
      <c r="H264" s="45"/>
      <c r="I264" s="45"/>
      <c r="J264" s="46"/>
      <c r="K264" s="47"/>
      <c r="L264" s="48"/>
      <c r="M264" s="48"/>
      <c r="N264" s="48"/>
      <c r="S264" s="49"/>
    </row>
    <row r="265" customFormat="false" ht="15.75" hidden="false" customHeight="true" outlineLevel="0" collapsed="false">
      <c r="B265" s="40"/>
      <c r="C265" s="41"/>
      <c r="D265" s="42"/>
      <c r="E265" s="40"/>
      <c r="F265" s="43"/>
      <c r="G265" s="44"/>
      <c r="H265" s="45"/>
      <c r="I265" s="45"/>
      <c r="J265" s="46"/>
      <c r="K265" s="47"/>
      <c r="L265" s="48"/>
      <c r="M265" s="48"/>
      <c r="N265" s="48"/>
      <c r="S265" s="49"/>
    </row>
    <row r="266" customFormat="false" ht="15.75" hidden="false" customHeight="true" outlineLevel="0" collapsed="false">
      <c r="B266" s="40"/>
      <c r="C266" s="41"/>
      <c r="D266" s="42"/>
      <c r="E266" s="40"/>
      <c r="F266" s="43"/>
      <c r="G266" s="44"/>
      <c r="H266" s="45"/>
      <c r="I266" s="45"/>
      <c r="J266" s="46"/>
      <c r="K266" s="47"/>
      <c r="L266" s="48"/>
      <c r="M266" s="48"/>
      <c r="N266" s="48"/>
      <c r="S266" s="49"/>
    </row>
    <row r="267" customFormat="false" ht="15.75" hidden="false" customHeight="true" outlineLevel="0" collapsed="false">
      <c r="B267" s="40"/>
      <c r="C267" s="41"/>
      <c r="D267" s="42"/>
      <c r="E267" s="40"/>
      <c r="F267" s="43"/>
      <c r="G267" s="44"/>
      <c r="H267" s="45"/>
      <c r="I267" s="45"/>
      <c r="J267" s="46"/>
      <c r="K267" s="47"/>
      <c r="L267" s="48"/>
      <c r="M267" s="48"/>
      <c r="N267" s="48"/>
      <c r="S267" s="49"/>
    </row>
    <row r="268" customFormat="false" ht="15.75" hidden="false" customHeight="true" outlineLevel="0" collapsed="false">
      <c r="B268" s="40"/>
      <c r="C268" s="41"/>
      <c r="D268" s="42"/>
      <c r="E268" s="40"/>
      <c r="F268" s="43"/>
      <c r="G268" s="44"/>
      <c r="H268" s="45"/>
      <c r="I268" s="45"/>
      <c r="J268" s="46"/>
      <c r="K268" s="47"/>
      <c r="L268" s="48"/>
      <c r="M268" s="48"/>
      <c r="N268" s="48"/>
      <c r="S268" s="49"/>
    </row>
    <row r="269" customFormat="false" ht="15.75" hidden="false" customHeight="true" outlineLevel="0" collapsed="false">
      <c r="B269" s="40"/>
      <c r="C269" s="41"/>
      <c r="D269" s="42"/>
      <c r="E269" s="40"/>
      <c r="F269" s="43"/>
      <c r="G269" s="44"/>
      <c r="H269" s="45"/>
      <c r="I269" s="45"/>
      <c r="J269" s="46"/>
      <c r="K269" s="47"/>
      <c r="L269" s="48"/>
      <c r="M269" s="48"/>
      <c r="N269" s="48"/>
      <c r="S269" s="49"/>
    </row>
    <row r="270" customFormat="false" ht="15.75" hidden="false" customHeight="true" outlineLevel="0" collapsed="false">
      <c r="B270" s="40"/>
      <c r="C270" s="41"/>
      <c r="D270" s="42"/>
      <c r="E270" s="40"/>
      <c r="F270" s="43"/>
      <c r="G270" s="44"/>
      <c r="H270" s="45"/>
      <c r="I270" s="45"/>
      <c r="J270" s="46"/>
      <c r="K270" s="47"/>
      <c r="L270" s="48"/>
      <c r="M270" s="48"/>
      <c r="N270" s="48"/>
      <c r="S270" s="49"/>
    </row>
    <row r="271" customFormat="false" ht="15.75" hidden="false" customHeight="true" outlineLevel="0" collapsed="false">
      <c r="B271" s="40"/>
      <c r="C271" s="41"/>
      <c r="D271" s="42"/>
      <c r="E271" s="40"/>
      <c r="F271" s="43"/>
      <c r="G271" s="44"/>
      <c r="H271" s="45"/>
      <c r="I271" s="45"/>
      <c r="J271" s="46"/>
      <c r="K271" s="47"/>
      <c r="L271" s="48"/>
      <c r="M271" s="48"/>
      <c r="N271" s="48"/>
      <c r="S271" s="49"/>
    </row>
    <row r="272" customFormat="false" ht="15.75" hidden="false" customHeight="true" outlineLevel="0" collapsed="false">
      <c r="B272" s="40"/>
      <c r="C272" s="41"/>
      <c r="D272" s="42"/>
      <c r="E272" s="40"/>
      <c r="F272" s="43"/>
      <c r="G272" s="44"/>
      <c r="H272" s="45"/>
      <c r="I272" s="45"/>
      <c r="J272" s="46"/>
      <c r="K272" s="47"/>
      <c r="L272" s="48"/>
      <c r="M272" s="48"/>
      <c r="N272" s="48"/>
      <c r="S272" s="49"/>
    </row>
    <row r="273" customFormat="false" ht="15.75" hidden="false" customHeight="true" outlineLevel="0" collapsed="false">
      <c r="B273" s="40"/>
      <c r="C273" s="41"/>
      <c r="D273" s="42"/>
      <c r="E273" s="40"/>
      <c r="F273" s="43"/>
      <c r="G273" s="44"/>
      <c r="H273" s="45"/>
      <c r="I273" s="45"/>
      <c r="J273" s="46"/>
      <c r="K273" s="47"/>
      <c r="L273" s="48"/>
      <c r="M273" s="48"/>
      <c r="N273" s="48"/>
      <c r="S273" s="49"/>
    </row>
    <row r="274" customFormat="false" ht="15.75" hidden="false" customHeight="true" outlineLevel="0" collapsed="false">
      <c r="B274" s="40"/>
      <c r="C274" s="41"/>
      <c r="D274" s="42"/>
      <c r="E274" s="40"/>
      <c r="F274" s="43"/>
      <c r="G274" s="44"/>
      <c r="H274" s="45"/>
      <c r="I274" s="45"/>
      <c r="J274" s="46"/>
      <c r="K274" s="47"/>
      <c r="L274" s="48"/>
      <c r="M274" s="48"/>
      <c r="N274" s="48"/>
      <c r="S274" s="49"/>
    </row>
    <row r="275" customFormat="false" ht="15.75" hidden="false" customHeight="true" outlineLevel="0" collapsed="false">
      <c r="B275" s="40"/>
      <c r="C275" s="41"/>
      <c r="D275" s="42"/>
      <c r="E275" s="40"/>
      <c r="F275" s="43"/>
      <c r="G275" s="44"/>
      <c r="H275" s="45"/>
      <c r="I275" s="45"/>
      <c r="J275" s="46"/>
      <c r="K275" s="47"/>
      <c r="L275" s="48"/>
      <c r="M275" s="48"/>
      <c r="N275" s="48"/>
      <c r="S275" s="49"/>
    </row>
    <row r="276" customFormat="false" ht="15.75" hidden="false" customHeight="true" outlineLevel="0" collapsed="false">
      <c r="B276" s="40"/>
      <c r="C276" s="41"/>
      <c r="D276" s="42"/>
      <c r="E276" s="40"/>
      <c r="F276" s="43"/>
      <c r="G276" s="44"/>
      <c r="H276" s="45"/>
      <c r="I276" s="45"/>
      <c r="J276" s="46"/>
      <c r="K276" s="47"/>
      <c r="L276" s="48"/>
      <c r="M276" s="48"/>
      <c r="N276" s="48"/>
      <c r="S276" s="49"/>
    </row>
    <row r="277" customFormat="false" ht="15.75" hidden="false" customHeight="true" outlineLevel="0" collapsed="false">
      <c r="B277" s="40"/>
      <c r="C277" s="41"/>
      <c r="D277" s="42"/>
      <c r="E277" s="40"/>
      <c r="F277" s="43"/>
      <c r="G277" s="44"/>
      <c r="H277" s="45"/>
      <c r="I277" s="45"/>
      <c r="J277" s="46"/>
      <c r="K277" s="47"/>
      <c r="L277" s="48"/>
      <c r="M277" s="48"/>
      <c r="N277" s="48"/>
      <c r="S277" s="49"/>
    </row>
    <row r="278" customFormat="false" ht="15.75" hidden="false" customHeight="true" outlineLevel="0" collapsed="false">
      <c r="B278" s="40"/>
      <c r="C278" s="41"/>
      <c r="D278" s="42"/>
      <c r="E278" s="40"/>
      <c r="F278" s="43"/>
      <c r="G278" s="44"/>
      <c r="H278" s="45"/>
      <c r="I278" s="45"/>
      <c r="J278" s="46"/>
      <c r="K278" s="47"/>
      <c r="L278" s="48"/>
      <c r="M278" s="48"/>
      <c r="N278" s="48"/>
      <c r="S278" s="49"/>
    </row>
    <row r="279" customFormat="false" ht="15.75" hidden="false" customHeight="true" outlineLevel="0" collapsed="false">
      <c r="B279" s="40"/>
      <c r="C279" s="41"/>
      <c r="D279" s="42"/>
      <c r="E279" s="40"/>
      <c r="F279" s="43"/>
      <c r="G279" s="44"/>
      <c r="H279" s="45"/>
      <c r="I279" s="45"/>
      <c r="J279" s="46"/>
      <c r="K279" s="47"/>
      <c r="L279" s="48"/>
      <c r="M279" s="48"/>
      <c r="N279" s="48"/>
      <c r="S279" s="49"/>
    </row>
    <row r="280" customFormat="false" ht="15.75" hidden="false" customHeight="true" outlineLevel="0" collapsed="false">
      <c r="B280" s="40"/>
      <c r="C280" s="41"/>
      <c r="D280" s="42"/>
      <c r="E280" s="40"/>
      <c r="F280" s="43"/>
      <c r="G280" s="44"/>
      <c r="H280" s="45"/>
      <c r="I280" s="45"/>
      <c r="J280" s="46"/>
      <c r="K280" s="47"/>
      <c r="L280" s="48"/>
      <c r="M280" s="48"/>
      <c r="N280" s="48"/>
      <c r="S280" s="49"/>
    </row>
    <row r="281" customFormat="false" ht="15.75" hidden="false" customHeight="true" outlineLevel="0" collapsed="false">
      <c r="B281" s="40"/>
      <c r="C281" s="41"/>
      <c r="D281" s="42"/>
      <c r="E281" s="40"/>
      <c r="F281" s="43"/>
      <c r="G281" s="44"/>
      <c r="H281" s="45"/>
      <c r="I281" s="45"/>
      <c r="J281" s="46"/>
      <c r="K281" s="47"/>
      <c r="L281" s="48"/>
      <c r="M281" s="48"/>
      <c r="N281" s="48"/>
      <c r="S281" s="49"/>
    </row>
    <row r="282" customFormat="false" ht="15.75" hidden="false" customHeight="true" outlineLevel="0" collapsed="false">
      <c r="B282" s="40"/>
      <c r="C282" s="41"/>
      <c r="D282" s="42"/>
      <c r="E282" s="40"/>
      <c r="F282" s="43"/>
      <c r="G282" s="44"/>
      <c r="H282" s="45"/>
      <c r="I282" s="45"/>
      <c r="J282" s="46"/>
      <c r="K282" s="47"/>
      <c r="L282" s="48"/>
      <c r="M282" s="48"/>
      <c r="N282" s="48"/>
      <c r="S282" s="49"/>
    </row>
    <row r="283" customFormat="false" ht="15.75" hidden="false" customHeight="true" outlineLevel="0" collapsed="false">
      <c r="B283" s="40"/>
      <c r="C283" s="41"/>
      <c r="D283" s="42"/>
      <c r="E283" s="40"/>
      <c r="F283" s="43"/>
      <c r="G283" s="44"/>
      <c r="H283" s="45"/>
      <c r="I283" s="45"/>
      <c r="J283" s="46"/>
      <c r="K283" s="47"/>
      <c r="L283" s="48"/>
      <c r="M283" s="48"/>
      <c r="N283" s="48"/>
      <c r="S283" s="49"/>
    </row>
    <row r="284" customFormat="false" ht="15.75" hidden="false" customHeight="true" outlineLevel="0" collapsed="false">
      <c r="B284" s="40"/>
      <c r="C284" s="41"/>
      <c r="D284" s="42"/>
      <c r="E284" s="40"/>
      <c r="F284" s="43"/>
      <c r="G284" s="44"/>
      <c r="H284" s="45"/>
      <c r="I284" s="45"/>
      <c r="J284" s="46"/>
      <c r="K284" s="47"/>
      <c r="L284" s="48"/>
      <c r="M284" s="48"/>
      <c r="N284" s="48"/>
      <c r="S284" s="49"/>
    </row>
    <row r="285" customFormat="false" ht="15.75" hidden="false" customHeight="true" outlineLevel="0" collapsed="false">
      <c r="B285" s="40"/>
      <c r="C285" s="41"/>
      <c r="D285" s="42"/>
      <c r="E285" s="40"/>
      <c r="F285" s="43"/>
      <c r="G285" s="44"/>
      <c r="H285" s="45"/>
      <c r="I285" s="45"/>
      <c r="J285" s="46"/>
      <c r="K285" s="47"/>
      <c r="L285" s="48"/>
      <c r="M285" s="48"/>
      <c r="N285" s="48"/>
      <c r="S285" s="49"/>
    </row>
    <row r="286" customFormat="false" ht="15.75" hidden="false" customHeight="true" outlineLevel="0" collapsed="false">
      <c r="B286" s="40"/>
      <c r="C286" s="41"/>
      <c r="D286" s="42"/>
      <c r="E286" s="40"/>
      <c r="F286" s="43"/>
      <c r="G286" s="44"/>
      <c r="H286" s="45"/>
      <c r="I286" s="45"/>
      <c r="J286" s="46"/>
      <c r="K286" s="47"/>
      <c r="L286" s="48"/>
      <c r="M286" s="48"/>
      <c r="N286" s="48"/>
      <c r="S286" s="49"/>
    </row>
    <row r="287" customFormat="false" ht="15.75" hidden="false" customHeight="true" outlineLevel="0" collapsed="false">
      <c r="B287" s="40"/>
      <c r="C287" s="41"/>
      <c r="D287" s="42"/>
      <c r="E287" s="40"/>
      <c r="F287" s="43"/>
      <c r="G287" s="44"/>
      <c r="H287" s="45"/>
      <c r="I287" s="45"/>
      <c r="J287" s="46"/>
      <c r="K287" s="47"/>
      <c r="L287" s="48"/>
      <c r="M287" s="48"/>
      <c r="N287" s="48"/>
      <c r="S287" s="49"/>
    </row>
    <row r="288" customFormat="false" ht="15.75" hidden="false" customHeight="true" outlineLevel="0" collapsed="false">
      <c r="B288" s="40"/>
      <c r="C288" s="41"/>
      <c r="D288" s="42"/>
      <c r="E288" s="40"/>
      <c r="F288" s="43"/>
      <c r="G288" s="44"/>
      <c r="H288" s="45"/>
      <c r="I288" s="45"/>
      <c r="J288" s="46"/>
      <c r="K288" s="47"/>
      <c r="L288" s="48"/>
      <c r="M288" s="48"/>
      <c r="N288" s="48"/>
      <c r="S288" s="49"/>
    </row>
    <row r="289" customFormat="false" ht="15.75" hidden="false" customHeight="true" outlineLevel="0" collapsed="false">
      <c r="B289" s="40"/>
      <c r="C289" s="41"/>
      <c r="D289" s="42"/>
      <c r="E289" s="40"/>
      <c r="F289" s="43"/>
      <c r="G289" s="44"/>
      <c r="H289" s="45"/>
      <c r="I289" s="45"/>
      <c r="J289" s="46"/>
      <c r="K289" s="47"/>
      <c r="L289" s="48"/>
      <c r="M289" s="48"/>
      <c r="N289" s="48"/>
      <c r="S289" s="49"/>
    </row>
    <row r="290" customFormat="false" ht="15.75" hidden="false" customHeight="true" outlineLevel="0" collapsed="false">
      <c r="B290" s="40"/>
      <c r="C290" s="41"/>
      <c r="D290" s="42"/>
      <c r="E290" s="40"/>
      <c r="F290" s="43"/>
      <c r="G290" s="44"/>
      <c r="H290" s="45"/>
      <c r="I290" s="45"/>
      <c r="J290" s="46"/>
      <c r="K290" s="47"/>
      <c r="L290" s="48"/>
      <c r="M290" s="48"/>
      <c r="N290" s="48"/>
      <c r="S290" s="49"/>
    </row>
    <row r="291" customFormat="false" ht="15.75" hidden="false" customHeight="true" outlineLevel="0" collapsed="false">
      <c r="B291" s="40"/>
      <c r="C291" s="41"/>
      <c r="D291" s="42"/>
      <c r="E291" s="40"/>
      <c r="F291" s="43"/>
      <c r="G291" s="44"/>
      <c r="H291" s="45"/>
      <c r="I291" s="45"/>
      <c r="J291" s="46"/>
      <c r="K291" s="47"/>
      <c r="L291" s="48"/>
      <c r="M291" s="48"/>
      <c r="N291" s="48"/>
      <c r="S291" s="49"/>
    </row>
    <row r="292" customFormat="false" ht="15.75" hidden="false" customHeight="true" outlineLevel="0" collapsed="false">
      <c r="B292" s="40"/>
      <c r="C292" s="41"/>
      <c r="D292" s="42"/>
      <c r="E292" s="40"/>
      <c r="F292" s="43"/>
      <c r="G292" s="44"/>
      <c r="H292" s="45"/>
      <c r="I292" s="45"/>
      <c r="J292" s="46"/>
      <c r="K292" s="47"/>
      <c r="L292" s="48"/>
      <c r="M292" s="48"/>
      <c r="N292" s="48"/>
      <c r="S292" s="49"/>
    </row>
    <row r="293" customFormat="false" ht="15.75" hidden="false" customHeight="true" outlineLevel="0" collapsed="false">
      <c r="B293" s="40"/>
      <c r="C293" s="41"/>
      <c r="D293" s="42"/>
      <c r="E293" s="40"/>
      <c r="F293" s="43"/>
      <c r="G293" s="44"/>
      <c r="H293" s="45"/>
      <c r="I293" s="45"/>
      <c r="J293" s="46"/>
      <c r="K293" s="47"/>
      <c r="L293" s="48"/>
      <c r="M293" s="48"/>
      <c r="N293" s="48"/>
      <c r="S293" s="49"/>
    </row>
    <row r="294" customFormat="false" ht="15.75" hidden="false" customHeight="true" outlineLevel="0" collapsed="false">
      <c r="B294" s="40"/>
      <c r="C294" s="41"/>
      <c r="D294" s="42"/>
      <c r="E294" s="40"/>
      <c r="F294" s="43"/>
      <c r="G294" s="44"/>
      <c r="H294" s="45"/>
      <c r="I294" s="45"/>
      <c r="J294" s="46"/>
      <c r="K294" s="47"/>
      <c r="L294" s="48"/>
      <c r="M294" s="48"/>
      <c r="N294" s="48"/>
      <c r="S294" s="49"/>
    </row>
    <row r="295" customFormat="false" ht="15.75" hidden="false" customHeight="true" outlineLevel="0" collapsed="false">
      <c r="B295" s="40"/>
      <c r="C295" s="41"/>
      <c r="D295" s="42"/>
      <c r="E295" s="40"/>
      <c r="F295" s="43"/>
      <c r="G295" s="44"/>
      <c r="H295" s="45"/>
      <c r="I295" s="45"/>
      <c r="J295" s="46"/>
      <c r="K295" s="47"/>
      <c r="L295" s="48"/>
      <c r="M295" s="48"/>
      <c r="N295" s="48"/>
      <c r="S295" s="49"/>
    </row>
    <row r="296" customFormat="false" ht="15.75" hidden="false" customHeight="true" outlineLevel="0" collapsed="false">
      <c r="B296" s="40"/>
      <c r="C296" s="41"/>
      <c r="D296" s="42"/>
      <c r="E296" s="40"/>
      <c r="F296" s="43"/>
      <c r="G296" s="44"/>
      <c r="H296" s="45"/>
      <c r="I296" s="45"/>
      <c r="J296" s="46"/>
      <c r="K296" s="47"/>
      <c r="L296" s="48"/>
      <c r="M296" s="48"/>
      <c r="N296" s="48"/>
      <c r="S296" s="49"/>
    </row>
    <row r="297" customFormat="false" ht="15.75" hidden="false" customHeight="true" outlineLevel="0" collapsed="false">
      <c r="B297" s="40"/>
      <c r="C297" s="41"/>
      <c r="D297" s="42"/>
      <c r="E297" s="40"/>
      <c r="F297" s="43"/>
      <c r="G297" s="44"/>
      <c r="H297" s="45"/>
      <c r="I297" s="45"/>
      <c r="J297" s="46"/>
      <c r="K297" s="47"/>
      <c r="L297" s="48"/>
      <c r="M297" s="48"/>
      <c r="N297" s="48"/>
      <c r="S297" s="49"/>
    </row>
    <row r="298" customFormat="false" ht="15.75" hidden="false" customHeight="true" outlineLevel="0" collapsed="false">
      <c r="B298" s="40"/>
      <c r="C298" s="41"/>
      <c r="D298" s="42"/>
      <c r="E298" s="40"/>
      <c r="F298" s="43"/>
      <c r="G298" s="44"/>
      <c r="H298" s="45"/>
      <c r="I298" s="45"/>
      <c r="J298" s="46"/>
      <c r="K298" s="47"/>
      <c r="L298" s="48"/>
      <c r="M298" s="48"/>
      <c r="N298" s="48"/>
      <c r="S298" s="49"/>
    </row>
    <row r="299" customFormat="false" ht="15.75" hidden="false" customHeight="true" outlineLevel="0" collapsed="false">
      <c r="B299" s="40"/>
      <c r="C299" s="41"/>
      <c r="D299" s="42"/>
      <c r="E299" s="40"/>
      <c r="F299" s="43"/>
      <c r="G299" s="44"/>
      <c r="H299" s="45"/>
      <c r="I299" s="45"/>
      <c r="J299" s="46"/>
      <c r="K299" s="47"/>
      <c r="L299" s="48"/>
      <c r="M299" s="48"/>
      <c r="N299" s="48"/>
      <c r="S299" s="49"/>
    </row>
    <row r="300" customFormat="false" ht="15.75" hidden="false" customHeight="true" outlineLevel="0" collapsed="false">
      <c r="B300" s="40"/>
      <c r="C300" s="41"/>
      <c r="D300" s="42"/>
      <c r="E300" s="40"/>
      <c r="F300" s="43"/>
      <c r="G300" s="44"/>
      <c r="H300" s="45"/>
      <c r="I300" s="45"/>
      <c r="J300" s="46"/>
      <c r="K300" s="47"/>
      <c r="L300" s="48"/>
      <c r="M300" s="48"/>
      <c r="N300" s="48"/>
      <c r="S300" s="49"/>
    </row>
    <row r="301" customFormat="false" ht="15.75" hidden="false" customHeight="true" outlineLevel="0" collapsed="false">
      <c r="B301" s="40"/>
      <c r="C301" s="41"/>
      <c r="D301" s="42"/>
      <c r="E301" s="40"/>
      <c r="F301" s="43"/>
      <c r="G301" s="44"/>
      <c r="H301" s="45"/>
      <c r="I301" s="45"/>
      <c r="J301" s="46"/>
      <c r="K301" s="47"/>
      <c r="L301" s="48"/>
      <c r="M301" s="48"/>
      <c r="N301" s="48"/>
      <c r="S301" s="49"/>
    </row>
    <row r="302" customFormat="false" ht="15.75" hidden="false" customHeight="true" outlineLevel="0" collapsed="false">
      <c r="B302" s="40"/>
      <c r="C302" s="41"/>
      <c r="D302" s="42"/>
      <c r="E302" s="40"/>
      <c r="F302" s="43"/>
      <c r="G302" s="44"/>
      <c r="H302" s="45"/>
      <c r="I302" s="45"/>
      <c r="J302" s="46"/>
      <c r="K302" s="47"/>
      <c r="L302" s="48"/>
      <c r="M302" s="48"/>
      <c r="N302" s="48"/>
      <c r="S302" s="49"/>
    </row>
    <row r="303" customFormat="false" ht="15.75" hidden="false" customHeight="true" outlineLevel="0" collapsed="false">
      <c r="B303" s="40"/>
      <c r="C303" s="41"/>
      <c r="D303" s="42"/>
      <c r="E303" s="40"/>
      <c r="F303" s="43"/>
      <c r="G303" s="44"/>
      <c r="H303" s="45"/>
      <c r="I303" s="45"/>
      <c r="J303" s="46"/>
      <c r="K303" s="47"/>
      <c r="L303" s="48"/>
      <c r="M303" s="48"/>
      <c r="N303" s="48"/>
      <c r="S303" s="49"/>
    </row>
    <row r="304" customFormat="false" ht="15.75" hidden="false" customHeight="true" outlineLevel="0" collapsed="false">
      <c r="B304" s="40"/>
      <c r="C304" s="41"/>
      <c r="D304" s="42"/>
      <c r="E304" s="40"/>
      <c r="F304" s="43"/>
      <c r="G304" s="44"/>
      <c r="H304" s="45"/>
      <c r="I304" s="45"/>
      <c r="J304" s="46"/>
      <c r="K304" s="47"/>
      <c r="L304" s="48"/>
      <c r="M304" s="48"/>
      <c r="N304" s="48"/>
      <c r="S304" s="49"/>
    </row>
    <row r="305" customFormat="false" ht="15.75" hidden="false" customHeight="true" outlineLevel="0" collapsed="false">
      <c r="B305" s="40"/>
      <c r="C305" s="41"/>
      <c r="D305" s="42"/>
      <c r="E305" s="40"/>
      <c r="F305" s="43"/>
      <c r="G305" s="44"/>
      <c r="H305" s="45"/>
      <c r="I305" s="45"/>
      <c r="J305" s="46"/>
      <c r="K305" s="47"/>
      <c r="L305" s="48"/>
      <c r="M305" s="48"/>
      <c r="N305" s="48"/>
      <c r="S305" s="49"/>
    </row>
    <row r="306" customFormat="false" ht="15.75" hidden="false" customHeight="true" outlineLevel="0" collapsed="false">
      <c r="B306" s="40"/>
      <c r="C306" s="41"/>
      <c r="D306" s="42"/>
      <c r="E306" s="40"/>
      <c r="F306" s="43"/>
      <c r="G306" s="44"/>
      <c r="H306" s="45"/>
      <c r="I306" s="45"/>
      <c r="J306" s="46"/>
      <c r="K306" s="47"/>
      <c r="L306" s="48"/>
      <c r="M306" s="48"/>
      <c r="N306" s="48"/>
      <c r="S306" s="49"/>
    </row>
    <row r="307" customFormat="false" ht="15.75" hidden="false" customHeight="true" outlineLevel="0" collapsed="false">
      <c r="B307" s="40"/>
      <c r="C307" s="41"/>
      <c r="D307" s="42"/>
      <c r="E307" s="40"/>
      <c r="F307" s="43"/>
      <c r="G307" s="44"/>
      <c r="H307" s="45"/>
      <c r="I307" s="45"/>
      <c r="J307" s="46"/>
      <c r="K307" s="47"/>
      <c r="L307" s="48"/>
      <c r="M307" s="48"/>
      <c r="N307" s="48"/>
      <c r="S307" s="49"/>
    </row>
    <row r="308" customFormat="false" ht="15.75" hidden="false" customHeight="true" outlineLevel="0" collapsed="false">
      <c r="B308" s="40"/>
      <c r="C308" s="41"/>
      <c r="D308" s="42"/>
      <c r="E308" s="40"/>
      <c r="F308" s="43"/>
      <c r="G308" s="44"/>
      <c r="H308" s="45"/>
      <c r="I308" s="45"/>
      <c r="J308" s="46"/>
      <c r="K308" s="47"/>
      <c r="L308" s="48"/>
      <c r="M308" s="48"/>
      <c r="N308" s="48"/>
      <c r="S308" s="49"/>
    </row>
    <row r="309" customFormat="false" ht="15.75" hidden="false" customHeight="true" outlineLevel="0" collapsed="false">
      <c r="B309" s="40"/>
      <c r="C309" s="41"/>
      <c r="D309" s="42"/>
      <c r="E309" s="40"/>
      <c r="F309" s="43"/>
      <c r="G309" s="44"/>
      <c r="H309" s="45"/>
      <c r="I309" s="45"/>
      <c r="J309" s="46"/>
      <c r="K309" s="47"/>
      <c r="L309" s="48"/>
      <c r="M309" s="48"/>
      <c r="N309" s="48"/>
      <c r="S309" s="49"/>
    </row>
    <row r="310" customFormat="false" ht="15.75" hidden="false" customHeight="true" outlineLevel="0" collapsed="false">
      <c r="B310" s="40"/>
      <c r="C310" s="41"/>
      <c r="D310" s="42"/>
      <c r="E310" s="40"/>
      <c r="F310" s="43"/>
      <c r="G310" s="44"/>
      <c r="H310" s="45"/>
      <c r="I310" s="45"/>
      <c r="J310" s="46"/>
      <c r="K310" s="47"/>
      <c r="L310" s="48"/>
      <c r="M310" s="48"/>
      <c r="N310" s="48"/>
      <c r="S310" s="49"/>
    </row>
    <row r="311" customFormat="false" ht="15.75" hidden="false" customHeight="true" outlineLevel="0" collapsed="false">
      <c r="B311" s="40"/>
      <c r="C311" s="41"/>
      <c r="D311" s="42"/>
      <c r="E311" s="40"/>
      <c r="F311" s="43"/>
      <c r="G311" s="44"/>
      <c r="H311" s="45"/>
      <c r="I311" s="45"/>
      <c r="J311" s="46"/>
      <c r="K311" s="47"/>
      <c r="L311" s="48"/>
      <c r="M311" s="48"/>
      <c r="N311" s="48"/>
      <c r="S311" s="49"/>
    </row>
    <row r="312" customFormat="false" ht="15.75" hidden="false" customHeight="true" outlineLevel="0" collapsed="false">
      <c r="B312" s="40"/>
      <c r="C312" s="41"/>
      <c r="D312" s="42"/>
      <c r="E312" s="40"/>
      <c r="F312" s="43"/>
      <c r="G312" s="44"/>
      <c r="H312" s="45"/>
      <c r="I312" s="45"/>
      <c r="J312" s="46"/>
      <c r="K312" s="47"/>
      <c r="L312" s="48"/>
      <c r="M312" s="48"/>
      <c r="N312" s="48"/>
      <c r="S312" s="49"/>
    </row>
    <row r="313" customFormat="false" ht="15.75" hidden="false" customHeight="true" outlineLevel="0" collapsed="false">
      <c r="B313" s="40"/>
      <c r="C313" s="41"/>
      <c r="D313" s="42"/>
      <c r="E313" s="40"/>
      <c r="F313" s="43"/>
      <c r="G313" s="44"/>
      <c r="H313" s="45"/>
      <c r="I313" s="45"/>
      <c r="J313" s="46"/>
      <c r="K313" s="47"/>
      <c r="L313" s="48"/>
      <c r="M313" s="48"/>
      <c r="N313" s="48"/>
      <c r="S313" s="49"/>
    </row>
    <row r="314" customFormat="false" ht="15.75" hidden="false" customHeight="true" outlineLevel="0" collapsed="false">
      <c r="B314" s="40"/>
      <c r="C314" s="41"/>
      <c r="D314" s="42"/>
      <c r="E314" s="40"/>
      <c r="F314" s="43"/>
      <c r="G314" s="44"/>
      <c r="H314" s="45"/>
      <c r="I314" s="45"/>
      <c r="J314" s="46"/>
      <c r="K314" s="47"/>
      <c r="L314" s="48"/>
      <c r="M314" s="48"/>
      <c r="N314" s="48"/>
      <c r="S314" s="49"/>
    </row>
    <row r="315" customFormat="false" ht="15.75" hidden="false" customHeight="true" outlineLevel="0" collapsed="false">
      <c r="B315" s="40"/>
      <c r="C315" s="41"/>
      <c r="D315" s="42"/>
      <c r="E315" s="40"/>
      <c r="F315" s="43"/>
      <c r="G315" s="44"/>
      <c r="H315" s="45"/>
      <c r="I315" s="45"/>
      <c r="J315" s="46"/>
      <c r="K315" s="47"/>
      <c r="L315" s="48"/>
      <c r="M315" s="48"/>
      <c r="N315" s="48"/>
      <c r="S315" s="49"/>
    </row>
    <row r="316" customFormat="false" ht="15.75" hidden="false" customHeight="true" outlineLevel="0" collapsed="false">
      <c r="B316" s="40"/>
      <c r="C316" s="41"/>
      <c r="D316" s="42"/>
      <c r="E316" s="40"/>
      <c r="F316" s="43"/>
      <c r="G316" s="44"/>
      <c r="H316" s="45"/>
      <c r="I316" s="45"/>
      <c r="J316" s="46"/>
      <c r="K316" s="47"/>
      <c r="L316" s="48"/>
      <c r="M316" s="48"/>
      <c r="N316" s="48"/>
      <c r="S316" s="49"/>
    </row>
    <row r="317" customFormat="false" ht="15.75" hidden="false" customHeight="true" outlineLevel="0" collapsed="false">
      <c r="B317" s="40"/>
      <c r="C317" s="41"/>
      <c r="D317" s="42"/>
      <c r="E317" s="40"/>
      <c r="F317" s="43"/>
      <c r="G317" s="44"/>
      <c r="H317" s="45"/>
      <c r="I317" s="45"/>
      <c r="J317" s="46"/>
      <c r="K317" s="47"/>
      <c r="L317" s="48"/>
      <c r="M317" s="48"/>
      <c r="N317" s="48"/>
      <c r="S317" s="49"/>
    </row>
    <row r="318" customFormat="false" ht="15.75" hidden="false" customHeight="true" outlineLevel="0" collapsed="false">
      <c r="B318" s="40"/>
      <c r="C318" s="41"/>
      <c r="D318" s="42"/>
      <c r="E318" s="40"/>
      <c r="F318" s="43"/>
      <c r="G318" s="44"/>
      <c r="H318" s="45"/>
      <c r="I318" s="45"/>
      <c r="J318" s="46"/>
      <c r="K318" s="47"/>
      <c r="L318" s="48"/>
      <c r="M318" s="48"/>
      <c r="N318" s="48"/>
      <c r="S318" s="49"/>
    </row>
    <row r="319" customFormat="false" ht="15.75" hidden="false" customHeight="true" outlineLevel="0" collapsed="false">
      <c r="B319" s="40"/>
      <c r="C319" s="41"/>
      <c r="D319" s="42"/>
      <c r="E319" s="40"/>
      <c r="F319" s="43"/>
      <c r="G319" s="44"/>
      <c r="H319" s="45"/>
      <c r="I319" s="45"/>
      <c r="J319" s="46"/>
      <c r="K319" s="47"/>
      <c r="L319" s="48"/>
      <c r="M319" s="48"/>
      <c r="N319" s="48"/>
      <c r="S319" s="49"/>
    </row>
    <row r="320" customFormat="false" ht="15.75" hidden="false" customHeight="true" outlineLevel="0" collapsed="false">
      <c r="B320" s="40"/>
      <c r="C320" s="41"/>
      <c r="D320" s="42"/>
      <c r="E320" s="40"/>
      <c r="F320" s="43"/>
      <c r="G320" s="44"/>
      <c r="H320" s="45"/>
      <c r="I320" s="45"/>
      <c r="J320" s="46"/>
      <c r="K320" s="47"/>
      <c r="L320" s="48"/>
      <c r="M320" s="48"/>
      <c r="N320" s="48"/>
      <c r="S320" s="49"/>
    </row>
    <row r="321" customFormat="false" ht="15.75" hidden="false" customHeight="true" outlineLevel="0" collapsed="false">
      <c r="B321" s="40"/>
      <c r="C321" s="41"/>
      <c r="D321" s="42"/>
      <c r="E321" s="40"/>
      <c r="F321" s="43"/>
      <c r="G321" s="44"/>
      <c r="H321" s="45"/>
      <c r="I321" s="45"/>
      <c r="J321" s="46"/>
      <c r="K321" s="47"/>
      <c r="L321" s="48"/>
      <c r="M321" s="48"/>
      <c r="N321" s="48"/>
      <c r="S321" s="49"/>
    </row>
    <row r="322" customFormat="false" ht="15.75" hidden="false" customHeight="true" outlineLevel="0" collapsed="false">
      <c r="B322" s="40"/>
      <c r="C322" s="41"/>
      <c r="D322" s="42"/>
      <c r="E322" s="40"/>
      <c r="F322" s="43"/>
      <c r="G322" s="44"/>
      <c r="H322" s="45"/>
      <c r="I322" s="45"/>
      <c r="J322" s="46"/>
      <c r="K322" s="47"/>
      <c r="L322" s="48"/>
      <c r="M322" s="48"/>
      <c r="N322" s="48"/>
      <c r="S322" s="49"/>
    </row>
    <row r="323" customFormat="false" ht="15.75" hidden="false" customHeight="true" outlineLevel="0" collapsed="false">
      <c r="B323" s="40"/>
      <c r="C323" s="41"/>
      <c r="D323" s="42"/>
      <c r="E323" s="40"/>
      <c r="F323" s="43"/>
      <c r="G323" s="44"/>
      <c r="H323" s="45"/>
      <c r="I323" s="45"/>
      <c r="J323" s="46"/>
      <c r="K323" s="47"/>
      <c r="L323" s="48"/>
      <c r="M323" s="48"/>
      <c r="N323" s="48"/>
      <c r="S323" s="49"/>
    </row>
    <row r="324" customFormat="false" ht="15.75" hidden="false" customHeight="true" outlineLevel="0" collapsed="false">
      <c r="B324" s="40"/>
      <c r="C324" s="41"/>
      <c r="D324" s="42"/>
      <c r="E324" s="40"/>
      <c r="F324" s="43"/>
      <c r="G324" s="44"/>
      <c r="H324" s="45"/>
      <c r="I324" s="45"/>
      <c r="J324" s="46"/>
      <c r="K324" s="47"/>
      <c r="L324" s="48"/>
      <c r="M324" s="48"/>
      <c r="N324" s="48"/>
      <c r="S324" s="49"/>
    </row>
    <row r="325" customFormat="false" ht="15.75" hidden="false" customHeight="true" outlineLevel="0" collapsed="false">
      <c r="B325" s="40"/>
      <c r="C325" s="41"/>
      <c r="D325" s="42"/>
      <c r="E325" s="40"/>
      <c r="F325" s="43"/>
      <c r="G325" s="44"/>
      <c r="H325" s="45"/>
      <c r="I325" s="45"/>
      <c r="J325" s="46"/>
      <c r="K325" s="47"/>
      <c r="L325" s="48"/>
      <c r="M325" s="48"/>
      <c r="N325" s="48"/>
      <c r="S325" s="49"/>
    </row>
    <row r="326" customFormat="false" ht="15.75" hidden="false" customHeight="true" outlineLevel="0" collapsed="false">
      <c r="B326" s="40"/>
      <c r="C326" s="41"/>
      <c r="D326" s="42"/>
      <c r="E326" s="40"/>
      <c r="F326" s="43"/>
      <c r="G326" s="44"/>
      <c r="H326" s="45"/>
      <c r="I326" s="45"/>
      <c r="J326" s="46"/>
      <c r="K326" s="47"/>
      <c r="L326" s="48"/>
      <c r="M326" s="48"/>
      <c r="N326" s="48"/>
      <c r="S326" s="49"/>
    </row>
    <row r="327" customFormat="false" ht="15.75" hidden="false" customHeight="true" outlineLevel="0" collapsed="false">
      <c r="B327" s="40"/>
      <c r="C327" s="41"/>
      <c r="D327" s="42"/>
      <c r="E327" s="40"/>
      <c r="F327" s="43"/>
      <c r="G327" s="44"/>
      <c r="H327" s="45"/>
      <c r="I327" s="45"/>
      <c r="J327" s="46"/>
      <c r="K327" s="47"/>
      <c r="L327" s="48"/>
      <c r="M327" s="48"/>
      <c r="N327" s="48"/>
      <c r="S327" s="49"/>
    </row>
    <row r="328" customFormat="false" ht="15.75" hidden="false" customHeight="true" outlineLevel="0" collapsed="false">
      <c r="B328" s="40"/>
      <c r="C328" s="41"/>
      <c r="D328" s="42"/>
      <c r="E328" s="40"/>
      <c r="F328" s="43"/>
      <c r="G328" s="44"/>
      <c r="H328" s="45"/>
      <c r="I328" s="45"/>
      <c r="J328" s="46"/>
      <c r="K328" s="47"/>
      <c r="L328" s="48"/>
      <c r="M328" s="48"/>
      <c r="N328" s="48"/>
      <c r="S328" s="49"/>
    </row>
    <row r="329" customFormat="false" ht="15.75" hidden="false" customHeight="true" outlineLevel="0" collapsed="false">
      <c r="B329" s="40"/>
      <c r="C329" s="41"/>
      <c r="D329" s="42"/>
      <c r="E329" s="40"/>
      <c r="F329" s="43"/>
      <c r="G329" s="44"/>
      <c r="H329" s="45"/>
      <c r="I329" s="45"/>
      <c r="J329" s="46"/>
      <c r="K329" s="47"/>
      <c r="L329" s="48"/>
      <c r="M329" s="48"/>
      <c r="N329" s="48"/>
      <c r="S329" s="49"/>
    </row>
    <row r="330" customFormat="false" ht="15.75" hidden="false" customHeight="true" outlineLevel="0" collapsed="false">
      <c r="B330" s="40"/>
      <c r="C330" s="41"/>
      <c r="D330" s="42"/>
      <c r="E330" s="40"/>
      <c r="F330" s="43"/>
      <c r="G330" s="44"/>
      <c r="H330" s="45"/>
      <c r="I330" s="45"/>
      <c r="J330" s="46"/>
      <c r="K330" s="47"/>
      <c r="L330" s="48"/>
      <c r="M330" s="48"/>
      <c r="N330" s="48"/>
      <c r="S330" s="49"/>
    </row>
    <row r="331" customFormat="false" ht="15.75" hidden="false" customHeight="true" outlineLevel="0" collapsed="false">
      <c r="B331" s="40"/>
      <c r="C331" s="41"/>
      <c r="D331" s="42"/>
      <c r="E331" s="40"/>
      <c r="F331" s="43"/>
      <c r="G331" s="44"/>
      <c r="H331" s="45"/>
      <c r="I331" s="45"/>
      <c r="J331" s="46"/>
      <c r="K331" s="47"/>
      <c r="L331" s="48"/>
      <c r="M331" s="48"/>
      <c r="N331" s="48"/>
      <c r="S331" s="49"/>
    </row>
    <row r="332" customFormat="false" ht="15.75" hidden="false" customHeight="true" outlineLevel="0" collapsed="false">
      <c r="B332" s="40"/>
      <c r="C332" s="41"/>
      <c r="D332" s="42"/>
      <c r="E332" s="40"/>
      <c r="F332" s="43"/>
      <c r="G332" s="44"/>
      <c r="H332" s="45"/>
      <c r="I332" s="45"/>
      <c r="J332" s="46"/>
      <c r="K332" s="47"/>
      <c r="L332" s="48"/>
      <c r="M332" s="48"/>
      <c r="N332" s="48"/>
      <c r="S332" s="49"/>
    </row>
    <row r="333" customFormat="false" ht="15.75" hidden="false" customHeight="true" outlineLevel="0" collapsed="false">
      <c r="B333" s="40"/>
      <c r="C333" s="41"/>
      <c r="D333" s="42"/>
      <c r="E333" s="40"/>
      <c r="F333" s="43"/>
      <c r="G333" s="44"/>
      <c r="H333" s="45"/>
      <c r="I333" s="45"/>
      <c r="J333" s="46"/>
      <c r="K333" s="47"/>
      <c r="L333" s="48"/>
      <c r="M333" s="48"/>
      <c r="N333" s="48"/>
      <c r="S333" s="49"/>
    </row>
    <row r="334" customFormat="false" ht="15.75" hidden="false" customHeight="true" outlineLevel="0" collapsed="false">
      <c r="B334" s="40"/>
      <c r="C334" s="41"/>
      <c r="D334" s="42"/>
      <c r="E334" s="40"/>
      <c r="F334" s="43"/>
      <c r="G334" s="44"/>
      <c r="H334" s="45"/>
      <c r="I334" s="45"/>
      <c r="J334" s="46"/>
      <c r="K334" s="47"/>
      <c r="L334" s="48"/>
      <c r="M334" s="48"/>
      <c r="N334" s="48"/>
      <c r="S334" s="49"/>
    </row>
    <row r="335" customFormat="false" ht="15.75" hidden="false" customHeight="true" outlineLevel="0" collapsed="false">
      <c r="B335" s="40"/>
      <c r="C335" s="41"/>
      <c r="D335" s="42"/>
      <c r="E335" s="40"/>
      <c r="F335" s="43"/>
      <c r="G335" s="44"/>
      <c r="H335" s="45"/>
      <c r="I335" s="45"/>
      <c r="J335" s="46"/>
      <c r="K335" s="47"/>
      <c r="L335" s="48"/>
      <c r="M335" s="48"/>
      <c r="N335" s="48"/>
      <c r="S335" s="49"/>
    </row>
    <row r="336" customFormat="false" ht="15.75" hidden="false" customHeight="true" outlineLevel="0" collapsed="false">
      <c r="B336" s="40"/>
      <c r="C336" s="41"/>
      <c r="D336" s="42"/>
      <c r="E336" s="40"/>
      <c r="F336" s="43"/>
      <c r="G336" s="44"/>
      <c r="H336" s="45"/>
      <c r="I336" s="45"/>
      <c r="J336" s="46"/>
      <c r="K336" s="47"/>
      <c r="L336" s="48"/>
      <c r="M336" s="48"/>
      <c r="N336" s="48"/>
      <c r="S336" s="49"/>
    </row>
    <row r="337" customFormat="false" ht="15.75" hidden="false" customHeight="true" outlineLevel="0" collapsed="false">
      <c r="B337" s="40"/>
      <c r="C337" s="41"/>
      <c r="D337" s="42"/>
      <c r="E337" s="40"/>
      <c r="F337" s="43"/>
      <c r="G337" s="44"/>
      <c r="H337" s="45"/>
      <c r="I337" s="45"/>
      <c r="J337" s="46"/>
      <c r="K337" s="47"/>
      <c r="L337" s="48"/>
      <c r="M337" s="48"/>
      <c r="N337" s="48"/>
      <c r="S337" s="49"/>
    </row>
    <row r="338" customFormat="false" ht="15.75" hidden="false" customHeight="true" outlineLevel="0" collapsed="false">
      <c r="B338" s="40"/>
      <c r="C338" s="41"/>
      <c r="D338" s="42"/>
      <c r="E338" s="40"/>
      <c r="F338" s="43"/>
      <c r="G338" s="44"/>
      <c r="H338" s="45"/>
      <c r="I338" s="45"/>
      <c r="J338" s="46"/>
      <c r="K338" s="47"/>
      <c r="L338" s="48"/>
      <c r="M338" s="48"/>
      <c r="N338" s="48"/>
      <c r="S338" s="49"/>
    </row>
    <row r="339" customFormat="false" ht="15.75" hidden="false" customHeight="true" outlineLevel="0" collapsed="false">
      <c r="B339" s="40"/>
      <c r="C339" s="41"/>
      <c r="D339" s="42"/>
      <c r="E339" s="40"/>
      <c r="F339" s="43"/>
      <c r="G339" s="44"/>
      <c r="H339" s="45"/>
      <c r="I339" s="45"/>
      <c r="J339" s="46"/>
      <c r="K339" s="47"/>
      <c r="L339" s="48"/>
      <c r="M339" s="48"/>
      <c r="N339" s="48"/>
      <c r="S339" s="49"/>
    </row>
    <row r="340" customFormat="false" ht="15.75" hidden="false" customHeight="true" outlineLevel="0" collapsed="false">
      <c r="B340" s="40"/>
      <c r="C340" s="41"/>
      <c r="D340" s="42"/>
      <c r="E340" s="40"/>
      <c r="F340" s="43"/>
      <c r="G340" s="44"/>
      <c r="H340" s="45"/>
      <c r="I340" s="45"/>
      <c r="J340" s="46"/>
      <c r="K340" s="47"/>
      <c r="L340" s="48"/>
      <c r="M340" s="48"/>
      <c r="N340" s="48"/>
      <c r="S340" s="49"/>
    </row>
    <row r="341" customFormat="false" ht="15.75" hidden="false" customHeight="true" outlineLevel="0" collapsed="false">
      <c r="B341" s="40"/>
      <c r="C341" s="41"/>
      <c r="D341" s="42"/>
      <c r="E341" s="40"/>
      <c r="F341" s="43"/>
      <c r="G341" s="44"/>
      <c r="H341" s="45"/>
      <c r="I341" s="45"/>
      <c r="J341" s="46"/>
      <c r="K341" s="47"/>
      <c r="L341" s="48"/>
      <c r="M341" s="48"/>
      <c r="N341" s="48"/>
      <c r="S341" s="49"/>
    </row>
    <row r="342" customFormat="false" ht="15.75" hidden="false" customHeight="true" outlineLevel="0" collapsed="false">
      <c r="B342" s="40"/>
      <c r="C342" s="41"/>
      <c r="D342" s="42"/>
      <c r="E342" s="40"/>
      <c r="F342" s="43"/>
      <c r="G342" s="44"/>
      <c r="H342" s="45"/>
      <c r="I342" s="45"/>
      <c r="J342" s="46"/>
      <c r="K342" s="47"/>
      <c r="L342" s="48"/>
      <c r="M342" s="48"/>
      <c r="N342" s="48"/>
      <c r="S342" s="49"/>
    </row>
    <row r="343" customFormat="false" ht="15.75" hidden="false" customHeight="true" outlineLevel="0" collapsed="false">
      <c r="B343" s="40"/>
      <c r="C343" s="41"/>
      <c r="D343" s="42"/>
      <c r="E343" s="40"/>
      <c r="F343" s="43"/>
      <c r="G343" s="44"/>
      <c r="H343" s="45"/>
      <c r="I343" s="45"/>
      <c r="J343" s="46"/>
      <c r="K343" s="47"/>
      <c r="L343" s="48"/>
      <c r="M343" s="48"/>
      <c r="N343" s="48"/>
      <c r="S343" s="49"/>
    </row>
    <row r="344" customFormat="false" ht="15.75" hidden="false" customHeight="true" outlineLevel="0" collapsed="false">
      <c r="B344" s="40"/>
      <c r="C344" s="41"/>
      <c r="D344" s="42"/>
      <c r="E344" s="40"/>
      <c r="F344" s="43"/>
      <c r="G344" s="44"/>
      <c r="H344" s="45"/>
      <c r="I344" s="45"/>
      <c r="J344" s="46"/>
      <c r="K344" s="47"/>
      <c r="L344" s="48"/>
      <c r="M344" s="48"/>
      <c r="N344" s="48"/>
      <c r="S344" s="49"/>
    </row>
    <row r="345" customFormat="false" ht="15.75" hidden="false" customHeight="true" outlineLevel="0" collapsed="false">
      <c r="B345" s="40"/>
      <c r="C345" s="41"/>
      <c r="D345" s="42"/>
      <c r="E345" s="40"/>
      <c r="F345" s="43"/>
      <c r="G345" s="44"/>
      <c r="H345" s="45"/>
      <c r="I345" s="45"/>
      <c r="J345" s="46"/>
      <c r="K345" s="47"/>
      <c r="L345" s="48"/>
      <c r="M345" s="48"/>
      <c r="N345" s="48"/>
      <c r="S345" s="49"/>
    </row>
    <row r="346" customFormat="false" ht="15.75" hidden="false" customHeight="true" outlineLevel="0" collapsed="false">
      <c r="B346" s="40"/>
      <c r="C346" s="41"/>
      <c r="D346" s="42"/>
      <c r="E346" s="40"/>
      <c r="F346" s="43"/>
      <c r="G346" s="44"/>
      <c r="H346" s="45"/>
      <c r="I346" s="45"/>
      <c r="J346" s="46"/>
      <c r="K346" s="47"/>
      <c r="L346" s="48"/>
      <c r="M346" s="48"/>
      <c r="N346" s="48"/>
      <c r="S346" s="49"/>
    </row>
    <row r="347" customFormat="false" ht="15.75" hidden="false" customHeight="true" outlineLevel="0" collapsed="false">
      <c r="B347" s="40"/>
      <c r="C347" s="41"/>
      <c r="D347" s="42"/>
      <c r="E347" s="40"/>
      <c r="F347" s="43"/>
      <c r="G347" s="44"/>
      <c r="H347" s="45"/>
      <c r="I347" s="45"/>
      <c r="J347" s="46"/>
      <c r="K347" s="47"/>
      <c r="L347" s="48"/>
      <c r="M347" s="48"/>
      <c r="N347" s="48"/>
      <c r="S347" s="49"/>
    </row>
    <row r="348" customFormat="false" ht="15.75" hidden="false" customHeight="true" outlineLevel="0" collapsed="false">
      <c r="B348" s="40"/>
      <c r="C348" s="41"/>
      <c r="D348" s="42"/>
      <c r="E348" s="40"/>
      <c r="F348" s="43"/>
      <c r="G348" s="44"/>
      <c r="H348" s="45"/>
      <c r="I348" s="45"/>
      <c r="J348" s="46"/>
      <c r="K348" s="47"/>
      <c r="L348" s="48"/>
      <c r="M348" s="48"/>
      <c r="N348" s="48"/>
      <c r="S348" s="49"/>
    </row>
    <row r="349" customFormat="false" ht="15.75" hidden="false" customHeight="true" outlineLevel="0" collapsed="false">
      <c r="B349" s="40"/>
      <c r="C349" s="41"/>
      <c r="D349" s="42"/>
      <c r="E349" s="40"/>
      <c r="F349" s="43"/>
      <c r="G349" s="44"/>
      <c r="H349" s="45"/>
      <c r="I349" s="45"/>
      <c r="J349" s="46"/>
      <c r="K349" s="47"/>
      <c r="L349" s="48"/>
      <c r="M349" s="48"/>
      <c r="N349" s="48"/>
      <c r="S349" s="49"/>
    </row>
    <row r="350" customFormat="false" ht="15.75" hidden="false" customHeight="true" outlineLevel="0" collapsed="false">
      <c r="B350" s="40"/>
      <c r="C350" s="41"/>
      <c r="D350" s="42"/>
      <c r="E350" s="40"/>
      <c r="F350" s="43"/>
      <c r="G350" s="44"/>
      <c r="H350" s="45"/>
      <c r="I350" s="45"/>
      <c r="J350" s="46"/>
      <c r="K350" s="47"/>
      <c r="L350" s="48"/>
      <c r="M350" s="48"/>
      <c r="N350" s="48"/>
      <c r="S350" s="49"/>
    </row>
    <row r="351" customFormat="false" ht="15.75" hidden="false" customHeight="true" outlineLevel="0" collapsed="false">
      <c r="B351" s="40"/>
      <c r="C351" s="41"/>
      <c r="D351" s="42"/>
      <c r="E351" s="40"/>
      <c r="F351" s="43"/>
      <c r="G351" s="44"/>
      <c r="H351" s="45"/>
      <c r="I351" s="45"/>
      <c r="J351" s="46"/>
      <c r="K351" s="47"/>
      <c r="L351" s="48"/>
      <c r="M351" s="48"/>
      <c r="N351" s="48"/>
      <c r="S351" s="49"/>
    </row>
    <row r="352" customFormat="false" ht="15.75" hidden="false" customHeight="true" outlineLevel="0" collapsed="false">
      <c r="B352" s="40"/>
      <c r="C352" s="41"/>
      <c r="D352" s="42"/>
      <c r="E352" s="40"/>
      <c r="F352" s="43"/>
      <c r="G352" s="44"/>
      <c r="H352" s="45"/>
      <c r="I352" s="45"/>
      <c r="J352" s="46"/>
      <c r="K352" s="47"/>
      <c r="L352" s="48"/>
      <c r="M352" s="48"/>
      <c r="N352" s="48"/>
      <c r="S352" s="49"/>
    </row>
    <row r="353" customFormat="false" ht="15.75" hidden="false" customHeight="true" outlineLevel="0" collapsed="false">
      <c r="B353" s="40"/>
      <c r="C353" s="41"/>
      <c r="D353" s="42"/>
      <c r="E353" s="40"/>
      <c r="F353" s="43"/>
      <c r="G353" s="44"/>
      <c r="H353" s="45"/>
      <c r="I353" s="45"/>
      <c r="J353" s="46"/>
      <c r="K353" s="47"/>
      <c r="L353" s="48"/>
      <c r="M353" s="48"/>
      <c r="N353" s="48"/>
      <c r="S353" s="49"/>
    </row>
    <row r="354" customFormat="false" ht="15.75" hidden="false" customHeight="true" outlineLevel="0" collapsed="false">
      <c r="B354" s="40"/>
      <c r="C354" s="41"/>
      <c r="D354" s="42"/>
      <c r="E354" s="40"/>
      <c r="F354" s="43"/>
      <c r="G354" s="44"/>
      <c r="H354" s="45"/>
      <c r="I354" s="45"/>
      <c r="J354" s="46"/>
      <c r="K354" s="47"/>
      <c r="L354" s="48"/>
      <c r="M354" s="48"/>
      <c r="N354" s="48"/>
      <c r="S354" s="49"/>
    </row>
    <row r="355" customFormat="false" ht="15.75" hidden="false" customHeight="true" outlineLevel="0" collapsed="false">
      <c r="B355" s="40"/>
      <c r="C355" s="41"/>
      <c r="D355" s="42"/>
      <c r="E355" s="40"/>
      <c r="F355" s="43"/>
      <c r="G355" s="44"/>
      <c r="H355" s="45"/>
      <c r="I355" s="45"/>
      <c r="J355" s="46"/>
      <c r="K355" s="47"/>
      <c r="L355" s="48"/>
      <c r="M355" s="48"/>
      <c r="N355" s="48"/>
      <c r="S355" s="49"/>
    </row>
    <row r="356" customFormat="false" ht="15.75" hidden="false" customHeight="true" outlineLevel="0" collapsed="false">
      <c r="B356" s="40"/>
      <c r="C356" s="41"/>
      <c r="D356" s="42"/>
      <c r="E356" s="40"/>
      <c r="F356" s="43"/>
      <c r="G356" s="44"/>
      <c r="H356" s="45"/>
      <c r="I356" s="45"/>
      <c r="J356" s="46"/>
      <c r="K356" s="47"/>
      <c r="L356" s="48"/>
      <c r="M356" s="48"/>
      <c r="N356" s="48"/>
      <c r="S356" s="49"/>
    </row>
    <row r="357" customFormat="false" ht="15.75" hidden="false" customHeight="true" outlineLevel="0" collapsed="false">
      <c r="B357" s="40"/>
      <c r="C357" s="41"/>
      <c r="D357" s="42"/>
      <c r="E357" s="40"/>
      <c r="F357" s="43"/>
      <c r="G357" s="44"/>
      <c r="H357" s="45"/>
      <c r="I357" s="45"/>
      <c r="J357" s="46"/>
      <c r="K357" s="47"/>
      <c r="L357" s="48"/>
      <c r="M357" s="48"/>
      <c r="N357" s="48"/>
      <c r="S357" s="49"/>
    </row>
    <row r="358" customFormat="false" ht="15.75" hidden="false" customHeight="true" outlineLevel="0" collapsed="false">
      <c r="B358" s="40"/>
      <c r="C358" s="41"/>
      <c r="D358" s="42"/>
      <c r="E358" s="40"/>
      <c r="F358" s="43"/>
      <c r="G358" s="44"/>
      <c r="H358" s="45"/>
      <c r="I358" s="45"/>
      <c r="J358" s="46"/>
      <c r="K358" s="47"/>
      <c r="L358" s="48"/>
      <c r="M358" s="48"/>
      <c r="N358" s="48"/>
      <c r="S358" s="49"/>
    </row>
    <row r="359" customFormat="false" ht="15.75" hidden="false" customHeight="true" outlineLevel="0" collapsed="false">
      <c r="B359" s="40"/>
      <c r="C359" s="41"/>
      <c r="D359" s="42"/>
      <c r="E359" s="40"/>
      <c r="F359" s="43"/>
      <c r="G359" s="44"/>
      <c r="H359" s="45"/>
      <c r="I359" s="45"/>
      <c r="J359" s="46"/>
      <c r="K359" s="47"/>
      <c r="L359" s="48"/>
      <c r="M359" s="48"/>
      <c r="N359" s="48"/>
      <c r="S359" s="49"/>
    </row>
    <row r="360" customFormat="false" ht="15.75" hidden="false" customHeight="true" outlineLevel="0" collapsed="false">
      <c r="B360" s="40"/>
      <c r="C360" s="41"/>
      <c r="D360" s="42"/>
      <c r="E360" s="40"/>
      <c r="F360" s="43"/>
      <c r="G360" s="44"/>
      <c r="H360" s="45"/>
      <c r="I360" s="45"/>
      <c r="J360" s="46"/>
      <c r="K360" s="47"/>
      <c r="L360" s="48"/>
      <c r="M360" s="48"/>
      <c r="N360" s="48"/>
      <c r="S360" s="49"/>
    </row>
    <row r="361" customFormat="false" ht="15.75" hidden="false" customHeight="true" outlineLevel="0" collapsed="false">
      <c r="B361" s="40"/>
      <c r="C361" s="41"/>
      <c r="D361" s="42"/>
      <c r="E361" s="40"/>
      <c r="F361" s="43"/>
      <c r="G361" s="44"/>
      <c r="H361" s="45"/>
      <c r="I361" s="45"/>
      <c r="J361" s="46"/>
      <c r="K361" s="47"/>
      <c r="L361" s="48"/>
      <c r="M361" s="48"/>
      <c r="N361" s="48"/>
      <c r="S361" s="49"/>
    </row>
    <row r="362" customFormat="false" ht="15.75" hidden="false" customHeight="true" outlineLevel="0" collapsed="false">
      <c r="B362" s="40"/>
      <c r="C362" s="41"/>
      <c r="D362" s="42"/>
      <c r="E362" s="40"/>
      <c r="F362" s="43"/>
      <c r="G362" s="44"/>
      <c r="H362" s="45"/>
      <c r="I362" s="45"/>
      <c r="J362" s="46"/>
      <c r="K362" s="47"/>
      <c r="L362" s="48"/>
      <c r="M362" s="48"/>
      <c r="N362" s="48"/>
      <c r="S362" s="49"/>
    </row>
    <row r="363" customFormat="false" ht="15.75" hidden="false" customHeight="true" outlineLevel="0" collapsed="false">
      <c r="B363" s="40"/>
      <c r="C363" s="41"/>
      <c r="D363" s="42"/>
      <c r="E363" s="40"/>
      <c r="F363" s="43"/>
      <c r="G363" s="44"/>
      <c r="H363" s="45"/>
      <c r="I363" s="45"/>
      <c r="J363" s="46"/>
      <c r="K363" s="47"/>
      <c r="L363" s="48"/>
      <c r="M363" s="48"/>
      <c r="N363" s="48"/>
      <c r="S363" s="49"/>
    </row>
    <row r="364" customFormat="false" ht="15.75" hidden="false" customHeight="true" outlineLevel="0" collapsed="false">
      <c r="B364" s="40"/>
      <c r="C364" s="41"/>
      <c r="D364" s="42"/>
      <c r="E364" s="40"/>
      <c r="F364" s="43"/>
      <c r="G364" s="44"/>
      <c r="H364" s="45"/>
      <c r="I364" s="45"/>
      <c r="J364" s="46"/>
      <c r="K364" s="47"/>
      <c r="L364" s="48"/>
      <c r="M364" s="48"/>
      <c r="N364" s="48"/>
      <c r="S364" s="49"/>
    </row>
    <row r="365" customFormat="false" ht="15.75" hidden="false" customHeight="true" outlineLevel="0" collapsed="false">
      <c r="B365" s="40"/>
      <c r="C365" s="41"/>
      <c r="D365" s="42"/>
      <c r="E365" s="40"/>
      <c r="F365" s="43"/>
      <c r="G365" s="44"/>
      <c r="H365" s="45"/>
      <c r="I365" s="45"/>
      <c r="J365" s="46"/>
      <c r="K365" s="47"/>
      <c r="L365" s="48"/>
      <c r="M365" s="48"/>
      <c r="N365" s="48"/>
      <c r="S365" s="49"/>
    </row>
    <row r="366" customFormat="false" ht="15.75" hidden="false" customHeight="true" outlineLevel="0" collapsed="false">
      <c r="B366" s="40"/>
      <c r="C366" s="41"/>
      <c r="D366" s="42"/>
      <c r="E366" s="40"/>
      <c r="F366" s="43"/>
      <c r="G366" s="44"/>
      <c r="H366" s="45"/>
      <c r="I366" s="45"/>
      <c r="J366" s="46"/>
      <c r="K366" s="47"/>
      <c r="L366" s="48"/>
      <c r="M366" s="48"/>
      <c r="N366" s="48"/>
      <c r="S366" s="49"/>
    </row>
    <row r="367" customFormat="false" ht="15.75" hidden="false" customHeight="true" outlineLevel="0" collapsed="false">
      <c r="B367" s="40"/>
      <c r="C367" s="41"/>
      <c r="D367" s="42"/>
      <c r="E367" s="40"/>
      <c r="F367" s="43"/>
      <c r="G367" s="44"/>
      <c r="H367" s="45"/>
      <c r="I367" s="45"/>
      <c r="J367" s="46"/>
      <c r="K367" s="47"/>
      <c r="L367" s="48"/>
      <c r="M367" s="48"/>
      <c r="N367" s="48"/>
      <c r="S367" s="49"/>
    </row>
    <row r="368" customFormat="false" ht="15.75" hidden="false" customHeight="true" outlineLevel="0" collapsed="false">
      <c r="B368" s="40"/>
      <c r="C368" s="41"/>
      <c r="D368" s="42"/>
      <c r="E368" s="40"/>
      <c r="F368" s="43"/>
      <c r="G368" s="44"/>
      <c r="H368" s="45"/>
      <c r="I368" s="45"/>
      <c r="J368" s="46"/>
      <c r="K368" s="47"/>
      <c r="L368" s="48"/>
      <c r="M368" s="48"/>
      <c r="N368" s="48"/>
      <c r="S368" s="49"/>
    </row>
    <row r="369" customFormat="false" ht="15.75" hidden="false" customHeight="true" outlineLevel="0" collapsed="false">
      <c r="B369" s="40"/>
      <c r="C369" s="41"/>
      <c r="D369" s="42"/>
      <c r="E369" s="40"/>
      <c r="F369" s="43"/>
      <c r="G369" s="44"/>
      <c r="H369" s="45"/>
      <c r="I369" s="45"/>
      <c r="J369" s="46"/>
      <c r="K369" s="47"/>
      <c r="L369" s="48"/>
      <c r="M369" s="48"/>
      <c r="N369" s="48"/>
      <c r="S369" s="49"/>
    </row>
    <row r="370" customFormat="false" ht="15.75" hidden="false" customHeight="true" outlineLevel="0" collapsed="false">
      <c r="B370" s="40"/>
      <c r="C370" s="41"/>
      <c r="D370" s="42"/>
      <c r="E370" s="40"/>
      <c r="F370" s="43"/>
      <c r="G370" s="44"/>
      <c r="H370" s="45"/>
      <c r="I370" s="45"/>
      <c r="J370" s="46"/>
      <c r="K370" s="47"/>
      <c r="L370" s="48"/>
      <c r="M370" s="48"/>
      <c r="N370" s="48"/>
      <c r="S370" s="49"/>
    </row>
    <row r="371" customFormat="false" ht="15.75" hidden="false" customHeight="true" outlineLevel="0" collapsed="false">
      <c r="B371" s="40"/>
      <c r="C371" s="41"/>
      <c r="D371" s="42"/>
      <c r="E371" s="40"/>
      <c r="F371" s="43"/>
      <c r="G371" s="44"/>
      <c r="H371" s="45"/>
      <c r="I371" s="45"/>
      <c r="J371" s="46"/>
      <c r="K371" s="47"/>
      <c r="L371" s="48"/>
      <c r="M371" s="48"/>
      <c r="N371" s="48"/>
      <c r="S371" s="49"/>
    </row>
    <row r="372" customFormat="false" ht="15.75" hidden="false" customHeight="true" outlineLevel="0" collapsed="false">
      <c r="B372" s="40"/>
      <c r="C372" s="41"/>
      <c r="D372" s="42"/>
      <c r="E372" s="40"/>
      <c r="F372" s="43"/>
      <c r="G372" s="44"/>
      <c r="H372" s="45"/>
      <c r="I372" s="45"/>
      <c r="J372" s="46"/>
      <c r="K372" s="47"/>
      <c r="L372" s="48"/>
      <c r="M372" s="48"/>
      <c r="N372" s="48"/>
      <c r="S372" s="49"/>
    </row>
    <row r="373" customFormat="false" ht="15.75" hidden="false" customHeight="true" outlineLevel="0" collapsed="false">
      <c r="B373" s="40"/>
      <c r="C373" s="41"/>
      <c r="D373" s="42"/>
      <c r="E373" s="40"/>
      <c r="F373" s="43"/>
      <c r="G373" s="44"/>
      <c r="H373" s="45"/>
      <c r="I373" s="45"/>
      <c r="J373" s="46"/>
      <c r="K373" s="47"/>
      <c r="L373" s="48"/>
      <c r="M373" s="48"/>
      <c r="N373" s="48"/>
      <c r="S373" s="49"/>
    </row>
    <row r="374" customFormat="false" ht="15.75" hidden="false" customHeight="true" outlineLevel="0" collapsed="false">
      <c r="B374" s="40"/>
      <c r="C374" s="41"/>
      <c r="D374" s="42"/>
      <c r="E374" s="40"/>
      <c r="F374" s="43"/>
      <c r="G374" s="44"/>
      <c r="H374" s="45"/>
      <c r="I374" s="45"/>
      <c r="J374" s="46"/>
      <c r="K374" s="47"/>
      <c r="L374" s="48"/>
      <c r="M374" s="48"/>
      <c r="N374" s="48"/>
      <c r="S374" s="49"/>
    </row>
    <row r="375" customFormat="false" ht="15.75" hidden="false" customHeight="true" outlineLevel="0" collapsed="false">
      <c r="B375" s="40"/>
      <c r="C375" s="41"/>
      <c r="D375" s="42"/>
      <c r="E375" s="40"/>
      <c r="F375" s="43"/>
      <c r="G375" s="44"/>
      <c r="H375" s="45"/>
      <c r="I375" s="45"/>
      <c r="J375" s="46"/>
      <c r="K375" s="47"/>
      <c r="L375" s="48"/>
      <c r="M375" s="48"/>
      <c r="N375" s="48"/>
      <c r="S375" s="49"/>
    </row>
    <row r="376" customFormat="false" ht="15.75" hidden="false" customHeight="true" outlineLevel="0" collapsed="false">
      <c r="B376" s="40"/>
      <c r="C376" s="41"/>
      <c r="D376" s="42"/>
      <c r="E376" s="40"/>
      <c r="F376" s="43"/>
      <c r="G376" s="44"/>
      <c r="H376" s="45"/>
      <c r="I376" s="45"/>
      <c r="J376" s="46"/>
      <c r="K376" s="47"/>
      <c r="L376" s="48"/>
      <c r="M376" s="48"/>
      <c r="N376" s="48"/>
      <c r="S376" s="49"/>
    </row>
    <row r="377" customFormat="false" ht="15.75" hidden="false" customHeight="true" outlineLevel="0" collapsed="false">
      <c r="B377" s="40"/>
      <c r="C377" s="41"/>
      <c r="D377" s="42"/>
      <c r="E377" s="40"/>
      <c r="F377" s="43"/>
      <c r="G377" s="44"/>
      <c r="H377" s="45"/>
      <c r="I377" s="45"/>
      <c r="J377" s="46"/>
      <c r="K377" s="47"/>
      <c r="L377" s="48"/>
      <c r="M377" s="48"/>
      <c r="N377" s="48"/>
      <c r="S377" s="49"/>
    </row>
    <row r="378" customFormat="false" ht="15.75" hidden="false" customHeight="true" outlineLevel="0" collapsed="false">
      <c r="B378" s="40"/>
      <c r="C378" s="41"/>
      <c r="D378" s="42"/>
      <c r="E378" s="40"/>
      <c r="F378" s="43"/>
      <c r="G378" s="44"/>
      <c r="H378" s="45"/>
      <c r="I378" s="45"/>
      <c r="J378" s="46"/>
      <c r="K378" s="47"/>
      <c r="L378" s="48"/>
      <c r="M378" s="48"/>
      <c r="N378" s="48"/>
      <c r="S378" s="49"/>
    </row>
    <row r="379" customFormat="false" ht="15.75" hidden="false" customHeight="true" outlineLevel="0" collapsed="false">
      <c r="B379" s="40"/>
      <c r="C379" s="41"/>
      <c r="D379" s="42"/>
      <c r="E379" s="40"/>
      <c r="F379" s="43"/>
      <c r="G379" s="44"/>
      <c r="H379" s="45"/>
      <c r="I379" s="45"/>
      <c r="J379" s="46"/>
      <c r="K379" s="47"/>
      <c r="L379" s="48"/>
      <c r="M379" s="48"/>
      <c r="N379" s="48"/>
      <c r="S379" s="49"/>
    </row>
    <row r="380" customFormat="false" ht="15.75" hidden="false" customHeight="true" outlineLevel="0" collapsed="false">
      <c r="B380" s="40"/>
      <c r="C380" s="41"/>
      <c r="D380" s="42"/>
      <c r="E380" s="40"/>
      <c r="F380" s="43"/>
      <c r="G380" s="44"/>
      <c r="H380" s="45"/>
      <c r="I380" s="45"/>
      <c r="J380" s="46"/>
      <c r="K380" s="47"/>
      <c r="L380" s="48"/>
      <c r="M380" s="48"/>
      <c r="N380" s="48"/>
      <c r="S380" s="49"/>
    </row>
    <row r="381" customFormat="false" ht="15.75" hidden="false" customHeight="true" outlineLevel="0" collapsed="false">
      <c r="B381" s="40"/>
      <c r="C381" s="41"/>
      <c r="D381" s="42"/>
      <c r="E381" s="40"/>
      <c r="F381" s="43"/>
      <c r="G381" s="44"/>
      <c r="H381" s="45"/>
      <c r="I381" s="45"/>
      <c r="J381" s="46"/>
      <c r="K381" s="47"/>
      <c r="L381" s="48"/>
      <c r="M381" s="48"/>
      <c r="N381" s="48"/>
      <c r="S381" s="49"/>
    </row>
    <row r="382" customFormat="false" ht="15.75" hidden="false" customHeight="true" outlineLevel="0" collapsed="false">
      <c r="B382" s="40"/>
      <c r="C382" s="41"/>
      <c r="D382" s="42"/>
      <c r="E382" s="40"/>
      <c r="F382" s="43"/>
      <c r="G382" s="44"/>
      <c r="H382" s="45"/>
      <c r="I382" s="45"/>
      <c r="J382" s="46"/>
      <c r="K382" s="47"/>
      <c r="L382" s="48"/>
      <c r="M382" s="48"/>
      <c r="N382" s="48"/>
      <c r="S382" s="49"/>
    </row>
    <row r="383" customFormat="false" ht="15.75" hidden="false" customHeight="true" outlineLevel="0" collapsed="false">
      <c r="B383" s="40"/>
      <c r="C383" s="41"/>
      <c r="D383" s="42"/>
      <c r="E383" s="40"/>
      <c r="F383" s="43"/>
      <c r="G383" s="44"/>
      <c r="H383" s="45"/>
      <c r="I383" s="45"/>
      <c r="J383" s="46"/>
      <c r="K383" s="47"/>
      <c r="L383" s="48"/>
      <c r="M383" s="48"/>
      <c r="N383" s="48"/>
      <c r="S383" s="49"/>
    </row>
    <row r="384" customFormat="false" ht="15.75" hidden="false" customHeight="true" outlineLevel="0" collapsed="false">
      <c r="B384" s="40"/>
      <c r="C384" s="41"/>
      <c r="D384" s="42"/>
      <c r="E384" s="40"/>
      <c r="F384" s="43"/>
      <c r="G384" s="44"/>
      <c r="H384" s="45"/>
      <c r="I384" s="45"/>
      <c r="J384" s="46"/>
      <c r="K384" s="47"/>
      <c r="L384" s="48"/>
      <c r="M384" s="48"/>
      <c r="N384" s="48"/>
      <c r="S384" s="49"/>
    </row>
    <row r="385" customFormat="false" ht="15.75" hidden="false" customHeight="true" outlineLevel="0" collapsed="false">
      <c r="B385" s="40"/>
      <c r="C385" s="41"/>
      <c r="D385" s="42"/>
      <c r="E385" s="40"/>
      <c r="F385" s="43"/>
      <c r="G385" s="44"/>
      <c r="H385" s="45"/>
      <c r="I385" s="45"/>
      <c r="J385" s="46"/>
      <c r="K385" s="47"/>
      <c r="L385" s="48"/>
      <c r="M385" s="48"/>
      <c r="N385" s="48"/>
      <c r="S385" s="49"/>
    </row>
    <row r="386" customFormat="false" ht="15.75" hidden="false" customHeight="true" outlineLevel="0" collapsed="false">
      <c r="B386" s="40"/>
      <c r="C386" s="41"/>
      <c r="D386" s="42"/>
      <c r="E386" s="40"/>
      <c r="F386" s="43"/>
      <c r="G386" s="44"/>
      <c r="H386" s="45"/>
      <c r="I386" s="45"/>
      <c r="J386" s="46"/>
      <c r="K386" s="47"/>
      <c r="L386" s="48"/>
      <c r="M386" s="48"/>
      <c r="N386" s="48"/>
      <c r="S386" s="49"/>
    </row>
    <row r="387" customFormat="false" ht="15.75" hidden="false" customHeight="true" outlineLevel="0" collapsed="false">
      <c r="B387" s="40"/>
      <c r="C387" s="41"/>
      <c r="D387" s="42"/>
      <c r="E387" s="40"/>
      <c r="F387" s="43"/>
      <c r="G387" s="44"/>
      <c r="H387" s="45"/>
      <c r="I387" s="45"/>
      <c r="J387" s="46"/>
      <c r="K387" s="47"/>
      <c r="L387" s="48"/>
      <c r="M387" s="48"/>
      <c r="N387" s="48"/>
      <c r="S387" s="49"/>
    </row>
    <row r="388" customFormat="false" ht="15.75" hidden="false" customHeight="true" outlineLevel="0" collapsed="false">
      <c r="B388" s="40"/>
      <c r="C388" s="41"/>
      <c r="D388" s="42"/>
      <c r="E388" s="40"/>
      <c r="F388" s="43"/>
      <c r="G388" s="44"/>
      <c r="H388" s="45"/>
      <c r="I388" s="45"/>
      <c r="J388" s="46"/>
      <c r="K388" s="47"/>
      <c r="L388" s="48"/>
      <c r="M388" s="48"/>
      <c r="N388" s="48"/>
      <c r="S388" s="49"/>
    </row>
    <row r="389" customFormat="false" ht="15.75" hidden="false" customHeight="true" outlineLevel="0" collapsed="false">
      <c r="B389" s="40"/>
      <c r="C389" s="41"/>
      <c r="D389" s="42"/>
      <c r="E389" s="40"/>
      <c r="F389" s="43"/>
      <c r="G389" s="44"/>
      <c r="H389" s="45"/>
      <c r="I389" s="45"/>
      <c r="J389" s="46"/>
      <c r="K389" s="47"/>
      <c r="L389" s="48"/>
      <c r="M389" s="48"/>
      <c r="N389" s="48"/>
      <c r="S389" s="49"/>
    </row>
    <row r="390" customFormat="false" ht="15.75" hidden="false" customHeight="true" outlineLevel="0" collapsed="false">
      <c r="B390" s="40"/>
      <c r="C390" s="41"/>
      <c r="D390" s="42"/>
      <c r="E390" s="40"/>
      <c r="F390" s="43"/>
      <c r="G390" s="44"/>
      <c r="H390" s="45"/>
      <c r="I390" s="45"/>
      <c r="J390" s="46"/>
      <c r="K390" s="47"/>
      <c r="L390" s="48"/>
      <c r="M390" s="48"/>
      <c r="N390" s="48"/>
      <c r="S390" s="49"/>
    </row>
    <row r="391" customFormat="false" ht="15.75" hidden="false" customHeight="true" outlineLevel="0" collapsed="false">
      <c r="B391" s="40"/>
      <c r="C391" s="41"/>
      <c r="D391" s="42"/>
      <c r="E391" s="40"/>
      <c r="F391" s="43"/>
      <c r="G391" s="44"/>
      <c r="H391" s="45"/>
      <c r="I391" s="45"/>
      <c r="J391" s="46"/>
      <c r="K391" s="47"/>
      <c r="L391" s="48"/>
      <c r="M391" s="48"/>
      <c r="N391" s="48"/>
      <c r="S391" s="49"/>
    </row>
    <row r="392" customFormat="false" ht="15.75" hidden="false" customHeight="true" outlineLevel="0" collapsed="false">
      <c r="B392" s="40"/>
      <c r="C392" s="41"/>
      <c r="D392" s="42"/>
      <c r="E392" s="40"/>
      <c r="F392" s="43"/>
      <c r="G392" s="44"/>
      <c r="H392" s="45"/>
      <c r="I392" s="45"/>
      <c r="J392" s="46"/>
      <c r="K392" s="47"/>
      <c r="L392" s="48"/>
      <c r="M392" s="48"/>
      <c r="N392" s="48"/>
      <c r="S392" s="49"/>
    </row>
    <row r="393" customFormat="false" ht="15.75" hidden="false" customHeight="true" outlineLevel="0" collapsed="false">
      <c r="B393" s="40"/>
      <c r="C393" s="41"/>
      <c r="D393" s="42"/>
      <c r="E393" s="40"/>
      <c r="F393" s="43"/>
      <c r="G393" s="44"/>
      <c r="H393" s="45"/>
      <c r="I393" s="45"/>
      <c r="J393" s="46"/>
      <c r="K393" s="47"/>
      <c r="L393" s="48"/>
      <c r="M393" s="48"/>
      <c r="N393" s="48"/>
      <c r="S393" s="49"/>
    </row>
    <row r="394" customFormat="false" ht="15.75" hidden="false" customHeight="true" outlineLevel="0" collapsed="false">
      <c r="B394" s="40"/>
      <c r="C394" s="41"/>
      <c r="D394" s="42"/>
      <c r="E394" s="40"/>
      <c r="F394" s="43"/>
      <c r="G394" s="44"/>
      <c r="H394" s="45"/>
      <c r="I394" s="45"/>
      <c r="J394" s="46"/>
      <c r="K394" s="47"/>
      <c r="L394" s="48"/>
      <c r="M394" s="48"/>
      <c r="N394" s="48"/>
      <c r="S394" s="49"/>
    </row>
    <row r="395" customFormat="false" ht="15.75" hidden="false" customHeight="true" outlineLevel="0" collapsed="false">
      <c r="B395" s="40"/>
      <c r="C395" s="41"/>
      <c r="D395" s="42"/>
      <c r="E395" s="40"/>
      <c r="F395" s="43"/>
      <c r="G395" s="44"/>
      <c r="H395" s="45"/>
      <c r="I395" s="45"/>
      <c r="J395" s="46"/>
      <c r="K395" s="47"/>
      <c r="L395" s="48"/>
      <c r="M395" s="48"/>
      <c r="N395" s="48"/>
      <c r="S395" s="49"/>
    </row>
    <row r="396" customFormat="false" ht="15.75" hidden="false" customHeight="true" outlineLevel="0" collapsed="false">
      <c r="B396" s="40"/>
      <c r="C396" s="41"/>
      <c r="D396" s="42"/>
      <c r="E396" s="40"/>
      <c r="F396" s="43"/>
      <c r="G396" s="44"/>
      <c r="H396" s="45"/>
      <c r="I396" s="45"/>
      <c r="J396" s="46"/>
      <c r="K396" s="47"/>
      <c r="L396" s="48"/>
      <c r="M396" s="48"/>
      <c r="N396" s="48"/>
      <c r="S396" s="49"/>
    </row>
    <row r="397" customFormat="false" ht="15.75" hidden="false" customHeight="true" outlineLevel="0" collapsed="false">
      <c r="B397" s="40"/>
      <c r="C397" s="41"/>
      <c r="D397" s="42"/>
      <c r="E397" s="40"/>
      <c r="F397" s="43"/>
      <c r="G397" s="44"/>
      <c r="H397" s="45"/>
      <c r="I397" s="45"/>
      <c r="J397" s="46"/>
      <c r="K397" s="47"/>
      <c r="L397" s="48"/>
      <c r="M397" s="48"/>
      <c r="N397" s="48"/>
      <c r="S397" s="49"/>
    </row>
    <row r="398" customFormat="false" ht="15.75" hidden="false" customHeight="true" outlineLevel="0" collapsed="false">
      <c r="B398" s="40"/>
      <c r="C398" s="41"/>
      <c r="D398" s="42"/>
      <c r="E398" s="40"/>
      <c r="F398" s="43"/>
      <c r="G398" s="44"/>
      <c r="H398" s="45"/>
      <c r="I398" s="45"/>
      <c r="J398" s="46"/>
      <c r="K398" s="47"/>
      <c r="L398" s="48"/>
      <c r="M398" s="48"/>
      <c r="N398" s="48"/>
      <c r="S398" s="49"/>
    </row>
    <row r="399" customFormat="false" ht="15.75" hidden="false" customHeight="true" outlineLevel="0" collapsed="false">
      <c r="B399" s="40"/>
      <c r="C399" s="41"/>
      <c r="D399" s="42"/>
      <c r="E399" s="40"/>
      <c r="F399" s="43"/>
      <c r="G399" s="44"/>
      <c r="H399" s="45"/>
      <c r="I399" s="45"/>
      <c r="J399" s="46"/>
      <c r="K399" s="47"/>
      <c r="L399" s="48"/>
      <c r="M399" s="48"/>
      <c r="N399" s="48"/>
      <c r="S399" s="49"/>
    </row>
    <row r="400" customFormat="false" ht="15.75" hidden="false" customHeight="true" outlineLevel="0" collapsed="false">
      <c r="B400" s="40"/>
      <c r="C400" s="41"/>
      <c r="D400" s="42"/>
      <c r="E400" s="40"/>
      <c r="F400" s="43"/>
      <c r="G400" s="44"/>
      <c r="H400" s="45"/>
      <c r="I400" s="45"/>
      <c r="J400" s="46"/>
      <c r="K400" s="47"/>
      <c r="L400" s="48"/>
      <c r="M400" s="48"/>
      <c r="N400" s="48"/>
      <c r="S400" s="49"/>
    </row>
    <row r="401" customFormat="false" ht="15.75" hidden="false" customHeight="true" outlineLevel="0" collapsed="false">
      <c r="B401" s="40"/>
      <c r="C401" s="41"/>
      <c r="D401" s="42"/>
      <c r="E401" s="40"/>
      <c r="F401" s="43"/>
      <c r="G401" s="44"/>
      <c r="H401" s="45"/>
      <c r="I401" s="45"/>
      <c r="J401" s="46"/>
      <c r="K401" s="47"/>
      <c r="L401" s="48"/>
      <c r="M401" s="48"/>
      <c r="N401" s="48"/>
      <c r="S401" s="49"/>
    </row>
    <row r="402" customFormat="false" ht="15.75" hidden="false" customHeight="true" outlineLevel="0" collapsed="false">
      <c r="B402" s="40"/>
      <c r="C402" s="41"/>
      <c r="D402" s="42"/>
      <c r="E402" s="40"/>
      <c r="F402" s="43"/>
      <c r="G402" s="44"/>
      <c r="H402" s="45"/>
      <c r="I402" s="45"/>
      <c r="J402" s="46"/>
      <c r="K402" s="47"/>
      <c r="L402" s="48"/>
      <c r="M402" s="48"/>
      <c r="N402" s="48"/>
      <c r="S402" s="49"/>
    </row>
    <row r="403" customFormat="false" ht="15.75" hidden="false" customHeight="true" outlineLevel="0" collapsed="false">
      <c r="B403" s="40"/>
      <c r="C403" s="41"/>
      <c r="D403" s="42"/>
      <c r="E403" s="40"/>
      <c r="F403" s="43"/>
      <c r="G403" s="44"/>
      <c r="H403" s="45"/>
      <c r="I403" s="45"/>
      <c r="J403" s="46"/>
      <c r="K403" s="47"/>
      <c r="L403" s="48"/>
      <c r="M403" s="48"/>
      <c r="N403" s="48"/>
      <c r="S403" s="49"/>
    </row>
    <row r="404" customFormat="false" ht="15.75" hidden="false" customHeight="true" outlineLevel="0" collapsed="false">
      <c r="B404" s="40"/>
      <c r="C404" s="41"/>
      <c r="D404" s="42"/>
      <c r="E404" s="40"/>
      <c r="F404" s="43"/>
      <c r="G404" s="44"/>
      <c r="H404" s="45"/>
      <c r="I404" s="45"/>
      <c r="J404" s="46"/>
      <c r="K404" s="47"/>
      <c r="L404" s="48"/>
      <c r="M404" s="48"/>
      <c r="N404" s="48"/>
      <c r="S404" s="49"/>
    </row>
    <row r="405" customFormat="false" ht="15.75" hidden="false" customHeight="true" outlineLevel="0" collapsed="false">
      <c r="B405" s="40"/>
      <c r="C405" s="41"/>
      <c r="D405" s="42"/>
      <c r="E405" s="40"/>
      <c r="F405" s="43"/>
      <c r="G405" s="44"/>
      <c r="H405" s="45"/>
      <c r="I405" s="45"/>
      <c r="J405" s="46"/>
      <c r="K405" s="47"/>
      <c r="L405" s="48"/>
      <c r="M405" s="48"/>
      <c r="N405" s="48"/>
      <c r="S405" s="49"/>
    </row>
    <row r="406" customFormat="false" ht="15.75" hidden="false" customHeight="true" outlineLevel="0" collapsed="false">
      <c r="B406" s="40"/>
      <c r="C406" s="41"/>
      <c r="D406" s="42"/>
      <c r="E406" s="40"/>
      <c r="F406" s="43"/>
      <c r="G406" s="44"/>
      <c r="H406" s="45"/>
      <c r="I406" s="45"/>
      <c r="J406" s="46"/>
      <c r="K406" s="47"/>
      <c r="L406" s="48"/>
      <c r="M406" s="48"/>
      <c r="N406" s="48"/>
      <c r="S406" s="49"/>
    </row>
    <row r="407" customFormat="false" ht="15.75" hidden="false" customHeight="true" outlineLevel="0" collapsed="false">
      <c r="B407" s="40"/>
      <c r="C407" s="41"/>
      <c r="D407" s="42"/>
      <c r="E407" s="40"/>
      <c r="F407" s="43"/>
      <c r="G407" s="44"/>
      <c r="H407" s="45"/>
      <c r="I407" s="45"/>
      <c r="J407" s="46"/>
      <c r="K407" s="47"/>
      <c r="L407" s="48"/>
      <c r="M407" s="48"/>
      <c r="N407" s="48"/>
      <c r="S407" s="49"/>
    </row>
    <row r="408" customFormat="false" ht="15.75" hidden="false" customHeight="true" outlineLevel="0" collapsed="false">
      <c r="B408" s="40"/>
      <c r="C408" s="41"/>
      <c r="D408" s="42"/>
      <c r="E408" s="40"/>
      <c r="F408" s="43"/>
      <c r="G408" s="44"/>
      <c r="H408" s="45"/>
      <c r="I408" s="45"/>
      <c r="J408" s="46"/>
      <c r="K408" s="47"/>
      <c r="L408" s="48"/>
      <c r="M408" s="48"/>
      <c r="N408" s="48"/>
      <c r="S408" s="49"/>
    </row>
    <row r="409" customFormat="false" ht="15.75" hidden="false" customHeight="true" outlineLevel="0" collapsed="false">
      <c r="B409" s="40"/>
      <c r="C409" s="41"/>
      <c r="D409" s="42"/>
      <c r="E409" s="40"/>
      <c r="F409" s="43"/>
      <c r="G409" s="44"/>
      <c r="H409" s="45"/>
      <c r="I409" s="45"/>
      <c r="J409" s="46"/>
      <c r="K409" s="47"/>
      <c r="L409" s="48"/>
      <c r="M409" s="48"/>
      <c r="N409" s="48"/>
      <c r="S409" s="49"/>
    </row>
    <row r="410" customFormat="false" ht="15.75" hidden="false" customHeight="true" outlineLevel="0" collapsed="false">
      <c r="B410" s="40"/>
      <c r="C410" s="41"/>
      <c r="D410" s="42"/>
      <c r="E410" s="40"/>
      <c r="F410" s="43"/>
      <c r="G410" s="44"/>
      <c r="H410" s="45"/>
      <c r="I410" s="45"/>
      <c r="J410" s="46"/>
      <c r="K410" s="47"/>
      <c r="L410" s="48"/>
      <c r="M410" s="48"/>
      <c r="N410" s="48"/>
      <c r="S410" s="49"/>
    </row>
    <row r="411" customFormat="false" ht="15.75" hidden="false" customHeight="true" outlineLevel="0" collapsed="false">
      <c r="B411" s="40"/>
      <c r="C411" s="41"/>
      <c r="D411" s="42"/>
      <c r="E411" s="40"/>
      <c r="F411" s="43"/>
      <c r="G411" s="44"/>
      <c r="H411" s="45"/>
      <c r="I411" s="45"/>
      <c r="J411" s="46"/>
      <c r="K411" s="47"/>
      <c r="L411" s="48"/>
      <c r="M411" s="48"/>
      <c r="N411" s="48"/>
      <c r="S411" s="49"/>
    </row>
    <row r="412" customFormat="false" ht="15.75" hidden="false" customHeight="true" outlineLevel="0" collapsed="false">
      <c r="B412" s="40"/>
      <c r="C412" s="41"/>
      <c r="D412" s="42"/>
      <c r="E412" s="40"/>
      <c r="F412" s="43"/>
      <c r="G412" s="44"/>
      <c r="H412" s="45"/>
      <c r="I412" s="45"/>
      <c r="J412" s="46"/>
      <c r="K412" s="47"/>
      <c r="L412" s="48"/>
      <c r="M412" s="48"/>
      <c r="N412" s="48"/>
      <c r="S412" s="49"/>
    </row>
    <row r="413" customFormat="false" ht="15.75" hidden="false" customHeight="true" outlineLevel="0" collapsed="false">
      <c r="B413" s="40"/>
      <c r="C413" s="41"/>
      <c r="D413" s="42"/>
      <c r="E413" s="40"/>
      <c r="F413" s="43"/>
      <c r="G413" s="44"/>
      <c r="H413" s="45"/>
      <c r="I413" s="45"/>
      <c r="J413" s="46"/>
      <c r="K413" s="47"/>
      <c r="L413" s="48"/>
      <c r="M413" s="48"/>
      <c r="N413" s="48"/>
      <c r="S413" s="49"/>
    </row>
    <row r="414" customFormat="false" ht="15.75" hidden="false" customHeight="true" outlineLevel="0" collapsed="false">
      <c r="B414" s="40"/>
      <c r="C414" s="41"/>
      <c r="D414" s="42"/>
      <c r="E414" s="40"/>
      <c r="F414" s="43"/>
      <c r="G414" s="44"/>
      <c r="H414" s="45"/>
      <c r="I414" s="45"/>
      <c r="J414" s="46"/>
      <c r="K414" s="47"/>
      <c r="L414" s="48"/>
      <c r="M414" s="48"/>
      <c r="N414" s="48"/>
      <c r="S414" s="49"/>
    </row>
    <row r="415" customFormat="false" ht="15.75" hidden="false" customHeight="true" outlineLevel="0" collapsed="false">
      <c r="B415" s="40"/>
      <c r="C415" s="41"/>
      <c r="D415" s="42"/>
      <c r="E415" s="40"/>
      <c r="F415" s="43"/>
      <c r="G415" s="44"/>
      <c r="H415" s="45"/>
      <c r="I415" s="45"/>
      <c r="J415" s="46"/>
      <c r="K415" s="47"/>
      <c r="L415" s="48"/>
      <c r="M415" s="48"/>
      <c r="N415" s="48"/>
      <c r="S415" s="49"/>
    </row>
    <row r="416" customFormat="false" ht="15.75" hidden="false" customHeight="true" outlineLevel="0" collapsed="false">
      <c r="B416" s="40"/>
      <c r="C416" s="41"/>
      <c r="D416" s="42"/>
      <c r="E416" s="40"/>
      <c r="F416" s="43"/>
      <c r="G416" s="44"/>
      <c r="H416" s="45"/>
      <c r="I416" s="45"/>
      <c r="J416" s="46"/>
      <c r="K416" s="47"/>
      <c r="L416" s="48"/>
      <c r="M416" s="48"/>
      <c r="N416" s="48"/>
      <c r="S416" s="49"/>
    </row>
    <row r="417" customFormat="false" ht="15.75" hidden="false" customHeight="true" outlineLevel="0" collapsed="false">
      <c r="B417" s="40"/>
      <c r="C417" s="41"/>
      <c r="D417" s="42"/>
      <c r="E417" s="40"/>
      <c r="F417" s="43"/>
      <c r="G417" s="44"/>
      <c r="H417" s="45"/>
      <c r="I417" s="45"/>
      <c r="J417" s="46"/>
      <c r="K417" s="47"/>
      <c r="L417" s="48"/>
      <c r="M417" s="48"/>
      <c r="N417" s="48"/>
      <c r="S417" s="49"/>
    </row>
    <row r="418" customFormat="false" ht="15.75" hidden="false" customHeight="true" outlineLevel="0" collapsed="false">
      <c r="B418" s="40"/>
      <c r="C418" s="41"/>
      <c r="D418" s="42"/>
      <c r="E418" s="40"/>
      <c r="F418" s="43"/>
      <c r="G418" s="44"/>
      <c r="H418" s="45"/>
      <c r="I418" s="45"/>
      <c r="J418" s="46"/>
      <c r="K418" s="47"/>
      <c r="L418" s="48"/>
      <c r="M418" s="48"/>
      <c r="N418" s="48"/>
      <c r="S418" s="49"/>
    </row>
    <row r="419" customFormat="false" ht="15.75" hidden="false" customHeight="true" outlineLevel="0" collapsed="false">
      <c r="B419" s="40"/>
      <c r="C419" s="41"/>
      <c r="D419" s="42"/>
      <c r="E419" s="40"/>
      <c r="F419" s="43"/>
      <c r="G419" s="44"/>
      <c r="H419" s="45"/>
      <c r="I419" s="45"/>
      <c r="J419" s="46"/>
      <c r="K419" s="47"/>
      <c r="L419" s="48"/>
      <c r="M419" s="48"/>
      <c r="N419" s="48"/>
      <c r="S419" s="49"/>
    </row>
    <row r="420" customFormat="false" ht="15.75" hidden="false" customHeight="true" outlineLevel="0" collapsed="false">
      <c r="B420" s="40"/>
      <c r="C420" s="41"/>
      <c r="D420" s="42"/>
      <c r="E420" s="40"/>
      <c r="F420" s="43"/>
      <c r="G420" s="44"/>
      <c r="H420" s="45"/>
      <c r="I420" s="45"/>
      <c r="J420" s="46"/>
      <c r="K420" s="47"/>
      <c r="L420" s="48"/>
      <c r="M420" s="48"/>
      <c r="N420" s="48"/>
      <c r="S420" s="49"/>
    </row>
    <row r="421" customFormat="false" ht="15.75" hidden="false" customHeight="true" outlineLevel="0" collapsed="false">
      <c r="B421" s="40"/>
      <c r="C421" s="41"/>
      <c r="D421" s="42"/>
      <c r="E421" s="40"/>
      <c r="F421" s="43"/>
      <c r="G421" s="44"/>
      <c r="H421" s="45"/>
      <c r="I421" s="45"/>
      <c r="J421" s="46"/>
      <c r="K421" s="47"/>
      <c r="L421" s="48"/>
      <c r="M421" s="48"/>
      <c r="N421" s="48"/>
      <c r="S421" s="49"/>
    </row>
    <row r="422" customFormat="false" ht="15.75" hidden="false" customHeight="true" outlineLevel="0" collapsed="false">
      <c r="B422" s="40"/>
      <c r="C422" s="41"/>
      <c r="D422" s="42"/>
      <c r="E422" s="40"/>
      <c r="F422" s="43"/>
      <c r="G422" s="44"/>
      <c r="H422" s="45"/>
      <c r="I422" s="45"/>
      <c r="J422" s="46"/>
      <c r="K422" s="47"/>
      <c r="L422" s="48"/>
      <c r="M422" s="48"/>
      <c r="N422" s="48"/>
      <c r="S422" s="49"/>
    </row>
    <row r="423" customFormat="false" ht="15.75" hidden="false" customHeight="true" outlineLevel="0" collapsed="false">
      <c r="B423" s="40"/>
      <c r="C423" s="41"/>
      <c r="D423" s="42"/>
      <c r="E423" s="40"/>
      <c r="F423" s="43"/>
      <c r="G423" s="44"/>
      <c r="H423" s="45"/>
      <c r="I423" s="45"/>
      <c r="J423" s="46"/>
      <c r="K423" s="47"/>
      <c r="L423" s="48"/>
      <c r="M423" s="48"/>
      <c r="N423" s="48"/>
      <c r="S423" s="49"/>
    </row>
    <row r="424" customFormat="false" ht="15.75" hidden="false" customHeight="true" outlineLevel="0" collapsed="false">
      <c r="B424" s="40"/>
      <c r="C424" s="41"/>
      <c r="D424" s="42"/>
      <c r="E424" s="40"/>
      <c r="F424" s="43"/>
      <c r="G424" s="44"/>
      <c r="H424" s="45"/>
      <c r="I424" s="45"/>
      <c r="J424" s="46"/>
      <c r="K424" s="47"/>
      <c r="L424" s="48"/>
      <c r="M424" s="48"/>
      <c r="N424" s="48"/>
      <c r="S424" s="49"/>
    </row>
    <row r="425" customFormat="false" ht="15.75" hidden="false" customHeight="true" outlineLevel="0" collapsed="false">
      <c r="B425" s="40"/>
      <c r="C425" s="41"/>
      <c r="D425" s="42"/>
      <c r="E425" s="40"/>
      <c r="F425" s="43"/>
      <c r="G425" s="44"/>
      <c r="H425" s="45"/>
      <c r="I425" s="45"/>
      <c r="J425" s="46"/>
      <c r="K425" s="47"/>
      <c r="L425" s="48"/>
      <c r="M425" s="48"/>
      <c r="N425" s="48"/>
      <c r="S425" s="49"/>
    </row>
    <row r="426" customFormat="false" ht="15.75" hidden="false" customHeight="true" outlineLevel="0" collapsed="false">
      <c r="B426" s="40"/>
      <c r="C426" s="41"/>
      <c r="D426" s="42"/>
      <c r="E426" s="40"/>
      <c r="F426" s="43"/>
      <c r="G426" s="44"/>
      <c r="H426" s="45"/>
      <c r="I426" s="45"/>
      <c r="J426" s="46"/>
      <c r="K426" s="47"/>
      <c r="L426" s="48"/>
      <c r="M426" s="48"/>
      <c r="N426" s="48"/>
      <c r="S426" s="49"/>
    </row>
    <row r="427" customFormat="false" ht="15.75" hidden="false" customHeight="true" outlineLevel="0" collapsed="false">
      <c r="B427" s="40"/>
      <c r="C427" s="41"/>
      <c r="D427" s="42"/>
      <c r="E427" s="40"/>
      <c r="F427" s="43"/>
      <c r="G427" s="44"/>
      <c r="H427" s="45"/>
      <c r="I427" s="45"/>
      <c r="J427" s="46"/>
      <c r="K427" s="47"/>
      <c r="L427" s="48"/>
      <c r="M427" s="48"/>
      <c r="N427" s="48"/>
      <c r="S427" s="49"/>
    </row>
    <row r="428" customFormat="false" ht="15.75" hidden="false" customHeight="true" outlineLevel="0" collapsed="false">
      <c r="B428" s="40"/>
      <c r="C428" s="41"/>
      <c r="D428" s="42"/>
      <c r="E428" s="40"/>
      <c r="F428" s="43"/>
      <c r="G428" s="44"/>
      <c r="H428" s="45"/>
      <c r="I428" s="45"/>
      <c r="J428" s="46"/>
      <c r="K428" s="47"/>
      <c r="L428" s="48"/>
      <c r="M428" s="48"/>
      <c r="N428" s="48"/>
      <c r="S428" s="49"/>
    </row>
    <row r="429" customFormat="false" ht="15.75" hidden="false" customHeight="true" outlineLevel="0" collapsed="false">
      <c r="B429" s="40"/>
      <c r="C429" s="41"/>
      <c r="D429" s="42"/>
      <c r="E429" s="40"/>
      <c r="F429" s="43"/>
      <c r="G429" s="44"/>
      <c r="H429" s="45"/>
      <c r="I429" s="45"/>
      <c r="J429" s="46"/>
      <c r="K429" s="47"/>
      <c r="L429" s="48"/>
      <c r="M429" s="48"/>
      <c r="N429" s="48"/>
      <c r="S429" s="49"/>
    </row>
    <row r="430" customFormat="false" ht="15.75" hidden="false" customHeight="true" outlineLevel="0" collapsed="false">
      <c r="B430" s="40"/>
      <c r="C430" s="41"/>
      <c r="D430" s="42"/>
      <c r="E430" s="40"/>
      <c r="F430" s="43"/>
      <c r="G430" s="44"/>
      <c r="H430" s="45"/>
      <c r="I430" s="45"/>
      <c r="J430" s="46"/>
      <c r="K430" s="47"/>
      <c r="L430" s="48"/>
      <c r="M430" s="48"/>
      <c r="N430" s="48"/>
      <c r="S430" s="49"/>
    </row>
    <row r="431" customFormat="false" ht="15.75" hidden="false" customHeight="true" outlineLevel="0" collapsed="false">
      <c r="B431" s="40"/>
      <c r="C431" s="41"/>
      <c r="D431" s="42"/>
      <c r="E431" s="40"/>
      <c r="F431" s="43"/>
      <c r="G431" s="44"/>
      <c r="H431" s="45"/>
      <c r="I431" s="45"/>
      <c r="J431" s="46"/>
      <c r="K431" s="47"/>
      <c r="L431" s="48"/>
      <c r="M431" s="48"/>
      <c r="N431" s="48"/>
      <c r="S431" s="49"/>
    </row>
    <row r="432" customFormat="false" ht="15.75" hidden="false" customHeight="true" outlineLevel="0" collapsed="false">
      <c r="B432" s="40"/>
      <c r="C432" s="41"/>
      <c r="D432" s="42"/>
      <c r="E432" s="40"/>
      <c r="F432" s="43"/>
      <c r="G432" s="44"/>
      <c r="H432" s="45"/>
      <c r="I432" s="45"/>
      <c r="J432" s="46"/>
      <c r="K432" s="47"/>
      <c r="L432" s="48"/>
      <c r="M432" s="48"/>
      <c r="N432" s="48"/>
      <c r="S432" s="49"/>
    </row>
    <row r="433" customFormat="false" ht="15.75" hidden="false" customHeight="true" outlineLevel="0" collapsed="false">
      <c r="B433" s="40"/>
      <c r="C433" s="41"/>
      <c r="D433" s="42"/>
      <c r="E433" s="40"/>
      <c r="F433" s="43"/>
      <c r="G433" s="44"/>
      <c r="H433" s="45"/>
      <c r="I433" s="45"/>
      <c r="J433" s="46"/>
      <c r="K433" s="47"/>
      <c r="L433" s="48"/>
      <c r="M433" s="48"/>
      <c r="N433" s="48"/>
      <c r="S433" s="49"/>
    </row>
    <row r="434" customFormat="false" ht="15.75" hidden="false" customHeight="true" outlineLevel="0" collapsed="false">
      <c r="B434" s="40"/>
      <c r="C434" s="41"/>
      <c r="D434" s="42"/>
      <c r="E434" s="40"/>
      <c r="F434" s="43"/>
      <c r="G434" s="44"/>
      <c r="H434" s="45"/>
      <c r="I434" s="45"/>
      <c r="J434" s="46"/>
      <c r="K434" s="47"/>
      <c r="L434" s="48"/>
      <c r="M434" s="48"/>
      <c r="N434" s="48"/>
      <c r="S434" s="49"/>
    </row>
    <row r="435" customFormat="false" ht="15.75" hidden="false" customHeight="true" outlineLevel="0" collapsed="false">
      <c r="B435" s="40"/>
      <c r="C435" s="41"/>
      <c r="D435" s="42"/>
      <c r="E435" s="40"/>
      <c r="F435" s="43"/>
      <c r="G435" s="44"/>
      <c r="H435" s="45"/>
      <c r="I435" s="45"/>
      <c r="J435" s="46"/>
      <c r="K435" s="47"/>
      <c r="L435" s="48"/>
      <c r="M435" s="48"/>
      <c r="N435" s="48"/>
      <c r="S435" s="49"/>
    </row>
    <row r="436" customFormat="false" ht="15.75" hidden="false" customHeight="true" outlineLevel="0" collapsed="false">
      <c r="B436" s="40"/>
      <c r="C436" s="41"/>
      <c r="D436" s="42"/>
      <c r="E436" s="40"/>
      <c r="F436" s="43"/>
      <c r="G436" s="44"/>
      <c r="H436" s="45"/>
      <c r="I436" s="45"/>
      <c r="J436" s="46"/>
      <c r="K436" s="47"/>
      <c r="L436" s="48"/>
      <c r="M436" s="48"/>
      <c r="N436" s="48"/>
      <c r="S436" s="49"/>
    </row>
    <row r="437" customFormat="false" ht="15.75" hidden="false" customHeight="true" outlineLevel="0" collapsed="false">
      <c r="B437" s="40"/>
      <c r="C437" s="41"/>
      <c r="D437" s="42"/>
      <c r="E437" s="40"/>
      <c r="F437" s="43"/>
      <c r="G437" s="44"/>
      <c r="H437" s="45"/>
      <c r="I437" s="45"/>
      <c r="J437" s="46"/>
      <c r="K437" s="47"/>
      <c r="L437" s="48"/>
      <c r="M437" s="48"/>
      <c r="N437" s="48"/>
      <c r="S437" s="49"/>
    </row>
    <row r="438" customFormat="false" ht="15.75" hidden="false" customHeight="true" outlineLevel="0" collapsed="false">
      <c r="B438" s="40"/>
      <c r="C438" s="41"/>
      <c r="D438" s="42"/>
      <c r="E438" s="40"/>
      <c r="F438" s="43"/>
      <c r="G438" s="44"/>
      <c r="H438" s="45"/>
      <c r="I438" s="45"/>
      <c r="J438" s="46"/>
      <c r="K438" s="47"/>
      <c r="L438" s="48"/>
      <c r="M438" s="48"/>
      <c r="N438" s="48"/>
      <c r="S438" s="49"/>
    </row>
    <row r="439" customFormat="false" ht="15.75" hidden="false" customHeight="true" outlineLevel="0" collapsed="false">
      <c r="B439" s="40"/>
      <c r="C439" s="41"/>
      <c r="D439" s="42"/>
      <c r="E439" s="40"/>
      <c r="F439" s="43"/>
      <c r="G439" s="44"/>
      <c r="H439" s="45"/>
      <c r="I439" s="45"/>
      <c r="J439" s="46"/>
      <c r="K439" s="47"/>
      <c r="L439" s="48"/>
      <c r="M439" s="48"/>
      <c r="N439" s="48"/>
      <c r="S439" s="49"/>
    </row>
    <row r="440" customFormat="false" ht="15.75" hidden="false" customHeight="true" outlineLevel="0" collapsed="false">
      <c r="B440" s="40"/>
      <c r="C440" s="41"/>
      <c r="D440" s="42"/>
      <c r="E440" s="40"/>
      <c r="F440" s="43"/>
      <c r="G440" s="44"/>
      <c r="H440" s="45"/>
      <c r="I440" s="45"/>
      <c r="J440" s="46"/>
      <c r="K440" s="47"/>
      <c r="L440" s="48"/>
      <c r="M440" s="48"/>
      <c r="N440" s="48"/>
      <c r="S440" s="49"/>
    </row>
    <row r="441" customFormat="false" ht="15.75" hidden="false" customHeight="true" outlineLevel="0" collapsed="false">
      <c r="B441" s="40"/>
      <c r="C441" s="41"/>
      <c r="D441" s="42"/>
      <c r="E441" s="40"/>
      <c r="F441" s="43"/>
      <c r="G441" s="44"/>
      <c r="H441" s="45"/>
      <c r="I441" s="45"/>
      <c r="J441" s="46"/>
      <c r="K441" s="47"/>
      <c r="L441" s="48"/>
      <c r="M441" s="48"/>
      <c r="N441" s="48"/>
      <c r="S441" s="49"/>
    </row>
    <row r="442" customFormat="false" ht="15.75" hidden="false" customHeight="true" outlineLevel="0" collapsed="false">
      <c r="B442" s="40"/>
      <c r="C442" s="41"/>
      <c r="D442" s="42"/>
      <c r="E442" s="40"/>
      <c r="F442" s="43"/>
      <c r="G442" s="44"/>
      <c r="H442" s="45"/>
      <c r="I442" s="45"/>
      <c r="J442" s="46"/>
      <c r="K442" s="47"/>
      <c r="L442" s="48"/>
      <c r="M442" s="48"/>
      <c r="N442" s="48"/>
      <c r="S442" s="49"/>
    </row>
    <row r="443" customFormat="false" ht="15.75" hidden="false" customHeight="true" outlineLevel="0" collapsed="false">
      <c r="B443" s="40"/>
      <c r="C443" s="41"/>
      <c r="D443" s="42"/>
      <c r="E443" s="40"/>
      <c r="F443" s="43"/>
      <c r="G443" s="44"/>
      <c r="H443" s="45"/>
      <c r="I443" s="45"/>
      <c r="J443" s="46"/>
      <c r="K443" s="47"/>
      <c r="L443" s="48"/>
      <c r="M443" s="48"/>
      <c r="N443" s="48"/>
      <c r="S443" s="49"/>
    </row>
    <row r="444" customFormat="false" ht="15.75" hidden="false" customHeight="true" outlineLevel="0" collapsed="false">
      <c r="B444" s="40"/>
      <c r="C444" s="41"/>
      <c r="D444" s="42"/>
      <c r="E444" s="40"/>
      <c r="F444" s="43"/>
      <c r="G444" s="44"/>
      <c r="H444" s="45"/>
      <c r="I444" s="45"/>
      <c r="J444" s="46"/>
      <c r="K444" s="47"/>
      <c r="L444" s="48"/>
      <c r="M444" s="48"/>
      <c r="N444" s="48"/>
      <c r="S444" s="49"/>
    </row>
    <row r="445" customFormat="false" ht="15.75" hidden="false" customHeight="true" outlineLevel="0" collapsed="false">
      <c r="B445" s="40"/>
      <c r="C445" s="41"/>
      <c r="D445" s="42"/>
      <c r="E445" s="40"/>
      <c r="F445" s="43"/>
      <c r="G445" s="44"/>
      <c r="H445" s="45"/>
      <c r="I445" s="45"/>
      <c r="J445" s="46"/>
      <c r="K445" s="47"/>
      <c r="L445" s="48"/>
      <c r="M445" s="48"/>
      <c r="N445" s="48"/>
      <c r="S445" s="49"/>
    </row>
    <row r="446" customFormat="false" ht="15.75" hidden="false" customHeight="true" outlineLevel="0" collapsed="false">
      <c r="B446" s="40"/>
      <c r="C446" s="41"/>
      <c r="D446" s="42"/>
      <c r="E446" s="40"/>
      <c r="F446" s="43"/>
      <c r="G446" s="44"/>
      <c r="H446" s="45"/>
      <c r="I446" s="45"/>
      <c r="J446" s="46"/>
      <c r="K446" s="47"/>
      <c r="L446" s="48"/>
      <c r="M446" s="48"/>
      <c r="N446" s="48"/>
      <c r="S446" s="49"/>
    </row>
    <row r="447" customFormat="false" ht="15.75" hidden="false" customHeight="true" outlineLevel="0" collapsed="false">
      <c r="B447" s="40"/>
      <c r="C447" s="41"/>
      <c r="D447" s="42"/>
      <c r="E447" s="40"/>
      <c r="F447" s="43"/>
      <c r="G447" s="44"/>
      <c r="H447" s="45"/>
      <c r="I447" s="45"/>
      <c r="J447" s="46"/>
      <c r="K447" s="47"/>
      <c r="L447" s="48"/>
      <c r="M447" s="48"/>
      <c r="N447" s="48"/>
      <c r="S447" s="49"/>
    </row>
    <row r="448" customFormat="false" ht="15.75" hidden="false" customHeight="true" outlineLevel="0" collapsed="false">
      <c r="B448" s="40"/>
      <c r="C448" s="41"/>
      <c r="D448" s="42"/>
      <c r="E448" s="40"/>
      <c r="F448" s="43"/>
      <c r="G448" s="44"/>
      <c r="H448" s="45"/>
      <c r="I448" s="45"/>
      <c r="J448" s="46"/>
      <c r="K448" s="47"/>
      <c r="L448" s="48"/>
      <c r="M448" s="48"/>
      <c r="N448" s="48"/>
      <c r="S448" s="49"/>
    </row>
    <row r="449" customFormat="false" ht="15.75" hidden="false" customHeight="true" outlineLevel="0" collapsed="false">
      <c r="B449" s="40"/>
      <c r="C449" s="41"/>
      <c r="D449" s="42"/>
      <c r="E449" s="40"/>
      <c r="F449" s="43"/>
      <c r="G449" s="44"/>
      <c r="H449" s="45"/>
      <c r="I449" s="45"/>
      <c r="J449" s="46"/>
      <c r="K449" s="47"/>
      <c r="L449" s="48"/>
      <c r="M449" s="48"/>
      <c r="N449" s="48"/>
      <c r="S449" s="49"/>
    </row>
    <row r="450" customFormat="false" ht="15.75" hidden="false" customHeight="true" outlineLevel="0" collapsed="false">
      <c r="B450" s="40"/>
      <c r="C450" s="41"/>
      <c r="D450" s="42"/>
      <c r="E450" s="40"/>
      <c r="F450" s="43"/>
      <c r="G450" s="44"/>
      <c r="H450" s="45"/>
      <c r="I450" s="45"/>
      <c r="J450" s="46"/>
      <c r="K450" s="47"/>
      <c r="L450" s="48"/>
      <c r="M450" s="48"/>
      <c r="N450" s="48"/>
      <c r="S450" s="49"/>
    </row>
    <row r="451" customFormat="false" ht="15.75" hidden="false" customHeight="true" outlineLevel="0" collapsed="false">
      <c r="B451" s="40"/>
      <c r="C451" s="41"/>
      <c r="D451" s="42"/>
      <c r="E451" s="40"/>
      <c r="F451" s="43"/>
      <c r="G451" s="44"/>
      <c r="H451" s="45"/>
      <c r="I451" s="45"/>
      <c r="J451" s="46"/>
      <c r="K451" s="47"/>
      <c r="L451" s="48"/>
      <c r="M451" s="48"/>
      <c r="N451" s="48"/>
      <c r="S451" s="49"/>
    </row>
    <row r="452" customFormat="false" ht="15.75" hidden="false" customHeight="true" outlineLevel="0" collapsed="false">
      <c r="B452" s="40"/>
      <c r="C452" s="41"/>
      <c r="D452" s="42"/>
      <c r="E452" s="40"/>
      <c r="F452" s="43"/>
      <c r="G452" s="44"/>
      <c r="H452" s="45"/>
      <c r="I452" s="45"/>
      <c r="J452" s="46"/>
      <c r="K452" s="47"/>
      <c r="L452" s="48"/>
      <c r="M452" s="48"/>
      <c r="N452" s="48"/>
      <c r="S452" s="49"/>
    </row>
    <row r="453" customFormat="false" ht="15.75" hidden="false" customHeight="true" outlineLevel="0" collapsed="false">
      <c r="B453" s="40"/>
      <c r="C453" s="41"/>
      <c r="D453" s="42"/>
      <c r="E453" s="40"/>
      <c r="F453" s="43"/>
      <c r="G453" s="44"/>
      <c r="H453" s="45"/>
      <c r="I453" s="45"/>
      <c r="J453" s="46"/>
      <c r="K453" s="47"/>
      <c r="L453" s="48"/>
      <c r="M453" s="48"/>
      <c r="N453" s="48"/>
      <c r="S453" s="49"/>
    </row>
    <row r="454" customFormat="false" ht="15.75" hidden="false" customHeight="true" outlineLevel="0" collapsed="false">
      <c r="B454" s="40"/>
      <c r="C454" s="41"/>
      <c r="D454" s="42"/>
      <c r="E454" s="40"/>
      <c r="F454" s="43"/>
      <c r="G454" s="44"/>
      <c r="H454" s="45"/>
      <c r="I454" s="45"/>
      <c r="J454" s="46"/>
      <c r="K454" s="47"/>
      <c r="L454" s="48"/>
      <c r="M454" s="48"/>
      <c r="N454" s="48"/>
      <c r="S454" s="49"/>
    </row>
    <row r="455" customFormat="false" ht="15.75" hidden="false" customHeight="true" outlineLevel="0" collapsed="false">
      <c r="B455" s="40"/>
      <c r="C455" s="41"/>
      <c r="D455" s="42"/>
      <c r="E455" s="40"/>
      <c r="F455" s="43"/>
      <c r="G455" s="44"/>
      <c r="H455" s="45"/>
      <c r="I455" s="45"/>
      <c r="J455" s="46"/>
      <c r="K455" s="47"/>
      <c r="L455" s="48"/>
      <c r="M455" s="48"/>
      <c r="N455" s="48"/>
      <c r="S455" s="49"/>
    </row>
    <row r="456" customFormat="false" ht="15.75" hidden="false" customHeight="true" outlineLevel="0" collapsed="false">
      <c r="B456" s="40"/>
      <c r="C456" s="41"/>
      <c r="D456" s="42"/>
      <c r="E456" s="40"/>
      <c r="F456" s="43"/>
      <c r="G456" s="44"/>
      <c r="H456" s="45"/>
      <c r="I456" s="45"/>
      <c r="J456" s="46"/>
      <c r="K456" s="47"/>
      <c r="L456" s="48"/>
      <c r="M456" s="48"/>
      <c r="N456" s="48"/>
      <c r="S456" s="49"/>
    </row>
    <row r="457" customFormat="false" ht="15.75" hidden="false" customHeight="true" outlineLevel="0" collapsed="false">
      <c r="B457" s="40"/>
      <c r="C457" s="41"/>
      <c r="D457" s="42"/>
      <c r="E457" s="40"/>
      <c r="F457" s="43"/>
      <c r="G457" s="44"/>
      <c r="H457" s="45"/>
      <c r="I457" s="45"/>
      <c r="J457" s="46"/>
      <c r="K457" s="47"/>
      <c r="L457" s="48"/>
      <c r="M457" s="48"/>
      <c r="N457" s="48"/>
      <c r="S457" s="49"/>
    </row>
    <row r="458" customFormat="false" ht="15.75" hidden="false" customHeight="true" outlineLevel="0" collapsed="false">
      <c r="B458" s="40"/>
      <c r="C458" s="41"/>
      <c r="D458" s="42"/>
      <c r="E458" s="40"/>
      <c r="F458" s="43"/>
      <c r="G458" s="44"/>
      <c r="H458" s="45"/>
      <c r="I458" s="45"/>
      <c r="J458" s="46"/>
      <c r="K458" s="47"/>
      <c r="L458" s="48"/>
      <c r="M458" s="48"/>
      <c r="N458" s="48"/>
      <c r="S458" s="49"/>
    </row>
    <row r="459" customFormat="false" ht="15.75" hidden="false" customHeight="true" outlineLevel="0" collapsed="false">
      <c r="B459" s="40"/>
      <c r="C459" s="41"/>
      <c r="D459" s="42"/>
      <c r="E459" s="40"/>
      <c r="F459" s="43"/>
      <c r="G459" s="44"/>
      <c r="H459" s="45"/>
      <c r="I459" s="45"/>
      <c r="J459" s="46"/>
      <c r="K459" s="47"/>
      <c r="L459" s="48"/>
      <c r="M459" s="48"/>
      <c r="N459" s="48"/>
      <c r="S459" s="49"/>
    </row>
    <row r="460" customFormat="false" ht="15.75" hidden="false" customHeight="true" outlineLevel="0" collapsed="false">
      <c r="B460" s="40"/>
      <c r="C460" s="41"/>
      <c r="D460" s="42"/>
      <c r="E460" s="40"/>
      <c r="F460" s="43"/>
      <c r="G460" s="44"/>
      <c r="H460" s="45"/>
      <c r="I460" s="45"/>
      <c r="J460" s="46"/>
      <c r="K460" s="47"/>
      <c r="L460" s="48"/>
      <c r="M460" s="48"/>
      <c r="N460" s="48"/>
      <c r="S460" s="49"/>
    </row>
    <row r="461" customFormat="false" ht="15.75" hidden="false" customHeight="true" outlineLevel="0" collapsed="false">
      <c r="B461" s="40"/>
      <c r="C461" s="41"/>
      <c r="D461" s="42"/>
      <c r="E461" s="40"/>
      <c r="F461" s="43"/>
      <c r="G461" s="44"/>
      <c r="H461" s="45"/>
      <c r="I461" s="45"/>
      <c r="J461" s="46"/>
      <c r="K461" s="47"/>
      <c r="L461" s="48"/>
      <c r="M461" s="48"/>
      <c r="N461" s="48"/>
      <c r="S461" s="49"/>
    </row>
    <row r="462" customFormat="false" ht="15.75" hidden="false" customHeight="true" outlineLevel="0" collapsed="false">
      <c r="B462" s="40"/>
      <c r="C462" s="41"/>
      <c r="D462" s="42"/>
      <c r="E462" s="40"/>
      <c r="F462" s="43"/>
      <c r="G462" s="44"/>
      <c r="H462" s="45"/>
      <c r="I462" s="45"/>
      <c r="J462" s="46"/>
      <c r="K462" s="47"/>
      <c r="L462" s="48"/>
      <c r="M462" s="48"/>
      <c r="N462" s="48"/>
      <c r="S462" s="49"/>
    </row>
    <row r="463" customFormat="false" ht="15.75" hidden="false" customHeight="true" outlineLevel="0" collapsed="false">
      <c r="B463" s="40"/>
      <c r="C463" s="41"/>
      <c r="D463" s="42"/>
      <c r="E463" s="40"/>
      <c r="F463" s="43"/>
      <c r="G463" s="44"/>
      <c r="H463" s="45"/>
      <c r="I463" s="45"/>
      <c r="J463" s="46"/>
      <c r="K463" s="47"/>
      <c r="L463" s="48"/>
      <c r="M463" s="48"/>
      <c r="N463" s="48"/>
      <c r="S463" s="49"/>
    </row>
    <row r="464" customFormat="false" ht="15.75" hidden="false" customHeight="true" outlineLevel="0" collapsed="false">
      <c r="B464" s="40"/>
      <c r="C464" s="41"/>
      <c r="D464" s="42"/>
      <c r="E464" s="40"/>
      <c r="F464" s="43"/>
      <c r="G464" s="44"/>
      <c r="H464" s="45"/>
      <c r="I464" s="45"/>
      <c r="J464" s="46"/>
      <c r="K464" s="47"/>
      <c r="L464" s="48"/>
      <c r="M464" s="48"/>
      <c r="N464" s="48"/>
      <c r="S464" s="49"/>
    </row>
    <row r="465" customFormat="false" ht="15.75" hidden="false" customHeight="true" outlineLevel="0" collapsed="false">
      <c r="B465" s="40"/>
      <c r="C465" s="41"/>
      <c r="D465" s="42"/>
      <c r="E465" s="40"/>
      <c r="F465" s="43"/>
      <c r="G465" s="44"/>
      <c r="H465" s="45"/>
      <c r="I465" s="45"/>
      <c r="J465" s="46"/>
      <c r="K465" s="47"/>
      <c r="L465" s="48"/>
      <c r="M465" s="48"/>
      <c r="N465" s="48"/>
      <c r="S465" s="49"/>
    </row>
    <row r="466" customFormat="false" ht="15.75" hidden="false" customHeight="true" outlineLevel="0" collapsed="false">
      <c r="B466" s="40"/>
      <c r="C466" s="41"/>
      <c r="D466" s="42"/>
      <c r="E466" s="40"/>
      <c r="F466" s="43"/>
      <c r="G466" s="44"/>
      <c r="H466" s="45"/>
      <c r="I466" s="45"/>
      <c r="J466" s="46"/>
      <c r="K466" s="47"/>
      <c r="L466" s="48"/>
      <c r="M466" s="48"/>
      <c r="N466" s="48"/>
      <c r="S466" s="49"/>
    </row>
    <row r="467" customFormat="false" ht="15.75" hidden="false" customHeight="true" outlineLevel="0" collapsed="false">
      <c r="B467" s="40"/>
      <c r="C467" s="41"/>
      <c r="D467" s="42"/>
      <c r="E467" s="40"/>
      <c r="F467" s="43"/>
      <c r="G467" s="44"/>
      <c r="H467" s="45"/>
      <c r="I467" s="45"/>
      <c r="J467" s="46"/>
      <c r="K467" s="47"/>
      <c r="L467" s="48"/>
      <c r="M467" s="48"/>
      <c r="N467" s="48"/>
      <c r="S467" s="49"/>
    </row>
    <row r="468" customFormat="false" ht="15.75" hidden="false" customHeight="true" outlineLevel="0" collapsed="false">
      <c r="B468" s="40"/>
      <c r="C468" s="41"/>
      <c r="D468" s="42"/>
      <c r="E468" s="40"/>
      <c r="F468" s="43"/>
      <c r="G468" s="44"/>
      <c r="H468" s="45"/>
      <c r="I468" s="45"/>
      <c r="J468" s="46"/>
      <c r="K468" s="47"/>
      <c r="L468" s="48"/>
      <c r="M468" s="48"/>
      <c r="N468" s="48"/>
      <c r="S468" s="49"/>
    </row>
    <row r="469" customFormat="false" ht="15.75" hidden="false" customHeight="true" outlineLevel="0" collapsed="false">
      <c r="B469" s="40"/>
      <c r="C469" s="41"/>
      <c r="D469" s="42"/>
      <c r="E469" s="40"/>
      <c r="F469" s="43"/>
      <c r="G469" s="44"/>
      <c r="H469" s="45"/>
      <c r="I469" s="45"/>
      <c r="J469" s="46"/>
      <c r="K469" s="47"/>
      <c r="L469" s="48"/>
      <c r="M469" s="48"/>
      <c r="N469" s="48"/>
      <c r="S469" s="49"/>
    </row>
    <row r="470" customFormat="false" ht="15.75" hidden="false" customHeight="true" outlineLevel="0" collapsed="false">
      <c r="B470" s="40"/>
      <c r="C470" s="41"/>
      <c r="D470" s="42"/>
      <c r="E470" s="40"/>
      <c r="F470" s="43"/>
      <c r="G470" s="44"/>
      <c r="H470" s="45"/>
      <c r="I470" s="45"/>
      <c r="J470" s="46"/>
      <c r="K470" s="47"/>
      <c r="L470" s="48"/>
      <c r="M470" s="48"/>
      <c r="N470" s="48"/>
      <c r="S470" s="49"/>
    </row>
    <row r="471" customFormat="false" ht="15.75" hidden="false" customHeight="true" outlineLevel="0" collapsed="false">
      <c r="B471" s="40"/>
      <c r="C471" s="41"/>
      <c r="D471" s="42"/>
      <c r="E471" s="40"/>
      <c r="F471" s="43"/>
      <c r="G471" s="44"/>
      <c r="H471" s="45"/>
      <c r="I471" s="45"/>
      <c r="J471" s="46"/>
      <c r="K471" s="47"/>
      <c r="L471" s="48"/>
      <c r="M471" s="48"/>
      <c r="N471" s="48"/>
      <c r="S471" s="49"/>
    </row>
    <row r="472" customFormat="false" ht="15.75" hidden="false" customHeight="true" outlineLevel="0" collapsed="false">
      <c r="B472" s="40"/>
      <c r="C472" s="41"/>
      <c r="D472" s="42"/>
      <c r="E472" s="40"/>
      <c r="F472" s="43"/>
      <c r="G472" s="44"/>
      <c r="H472" s="45"/>
      <c r="I472" s="45"/>
      <c r="J472" s="46"/>
      <c r="K472" s="47"/>
      <c r="L472" s="48"/>
      <c r="M472" s="48"/>
      <c r="N472" s="48"/>
      <c r="S472" s="49"/>
    </row>
    <row r="473" customFormat="false" ht="15.75" hidden="false" customHeight="true" outlineLevel="0" collapsed="false">
      <c r="B473" s="40"/>
      <c r="C473" s="41"/>
      <c r="D473" s="42"/>
      <c r="E473" s="40"/>
      <c r="F473" s="43"/>
      <c r="G473" s="44"/>
      <c r="H473" s="45"/>
      <c r="I473" s="45"/>
      <c r="J473" s="46"/>
      <c r="K473" s="47"/>
      <c r="L473" s="48"/>
      <c r="M473" s="48"/>
      <c r="N473" s="48"/>
      <c r="S473" s="49"/>
    </row>
    <row r="474" customFormat="false" ht="15.75" hidden="false" customHeight="true" outlineLevel="0" collapsed="false">
      <c r="B474" s="40"/>
      <c r="C474" s="41"/>
      <c r="D474" s="42"/>
      <c r="E474" s="40"/>
      <c r="F474" s="43"/>
      <c r="G474" s="44"/>
      <c r="H474" s="45"/>
      <c r="I474" s="45"/>
      <c r="J474" s="46"/>
      <c r="K474" s="47"/>
      <c r="L474" s="48"/>
      <c r="M474" s="48"/>
      <c r="N474" s="48"/>
      <c r="S474" s="49"/>
    </row>
    <row r="475" customFormat="false" ht="15.75" hidden="false" customHeight="true" outlineLevel="0" collapsed="false">
      <c r="B475" s="40"/>
      <c r="C475" s="41"/>
      <c r="D475" s="42"/>
      <c r="E475" s="40"/>
      <c r="F475" s="43"/>
      <c r="G475" s="44"/>
      <c r="H475" s="45"/>
      <c r="I475" s="45"/>
      <c r="J475" s="46"/>
      <c r="K475" s="47"/>
      <c r="L475" s="48"/>
      <c r="M475" s="48"/>
      <c r="N475" s="48"/>
      <c r="S475" s="49"/>
    </row>
    <row r="476" customFormat="false" ht="15.75" hidden="false" customHeight="true" outlineLevel="0" collapsed="false">
      <c r="B476" s="40"/>
      <c r="C476" s="41"/>
      <c r="D476" s="42"/>
      <c r="E476" s="40"/>
      <c r="F476" s="43"/>
      <c r="G476" s="44"/>
      <c r="H476" s="45"/>
      <c r="I476" s="45"/>
      <c r="J476" s="46"/>
      <c r="K476" s="47"/>
      <c r="L476" s="48"/>
      <c r="M476" s="48"/>
      <c r="N476" s="48"/>
      <c r="S476" s="49"/>
    </row>
    <row r="477" customFormat="false" ht="15.75" hidden="false" customHeight="true" outlineLevel="0" collapsed="false">
      <c r="B477" s="40"/>
      <c r="C477" s="41"/>
      <c r="D477" s="42"/>
      <c r="E477" s="40"/>
      <c r="F477" s="43"/>
      <c r="G477" s="44"/>
      <c r="H477" s="45"/>
      <c r="I477" s="45"/>
      <c r="J477" s="46"/>
      <c r="K477" s="47"/>
      <c r="L477" s="48"/>
      <c r="M477" s="48"/>
      <c r="N477" s="48"/>
      <c r="S477" s="49"/>
    </row>
    <row r="478" customFormat="false" ht="15.75" hidden="false" customHeight="true" outlineLevel="0" collapsed="false">
      <c r="B478" s="40"/>
      <c r="C478" s="41"/>
      <c r="D478" s="42"/>
      <c r="E478" s="40"/>
      <c r="F478" s="43"/>
      <c r="G478" s="44"/>
      <c r="H478" s="45"/>
      <c r="I478" s="45"/>
      <c r="J478" s="46"/>
      <c r="K478" s="47"/>
      <c r="L478" s="48"/>
      <c r="M478" s="48"/>
      <c r="N478" s="48"/>
      <c r="S478" s="49"/>
    </row>
    <row r="479" customFormat="false" ht="15.75" hidden="false" customHeight="true" outlineLevel="0" collapsed="false">
      <c r="B479" s="40"/>
      <c r="C479" s="41"/>
      <c r="D479" s="42"/>
      <c r="E479" s="40"/>
      <c r="F479" s="43"/>
      <c r="G479" s="44"/>
      <c r="H479" s="45"/>
      <c r="I479" s="45"/>
      <c r="J479" s="46"/>
      <c r="K479" s="47"/>
      <c r="L479" s="48"/>
      <c r="M479" s="48"/>
      <c r="N479" s="48"/>
      <c r="S479" s="49"/>
    </row>
    <row r="480" customFormat="false" ht="15.75" hidden="false" customHeight="true" outlineLevel="0" collapsed="false">
      <c r="B480" s="40"/>
      <c r="C480" s="41"/>
      <c r="D480" s="42"/>
      <c r="E480" s="40"/>
      <c r="F480" s="43"/>
      <c r="G480" s="44"/>
      <c r="H480" s="45"/>
      <c r="I480" s="45"/>
      <c r="J480" s="46"/>
      <c r="K480" s="47"/>
      <c r="L480" s="48"/>
      <c r="M480" s="48"/>
      <c r="N480" s="48"/>
      <c r="S480" s="49"/>
    </row>
    <row r="481" customFormat="false" ht="15.75" hidden="false" customHeight="true" outlineLevel="0" collapsed="false">
      <c r="B481" s="40"/>
      <c r="C481" s="41"/>
      <c r="D481" s="42"/>
      <c r="E481" s="40"/>
      <c r="F481" s="43"/>
      <c r="G481" s="44"/>
      <c r="H481" s="45"/>
      <c r="I481" s="45"/>
      <c r="J481" s="46"/>
      <c r="K481" s="47"/>
      <c r="L481" s="48"/>
      <c r="M481" s="48"/>
      <c r="N481" s="48"/>
      <c r="S481" s="49"/>
    </row>
    <row r="482" customFormat="false" ht="15.75" hidden="false" customHeight="true" outlineLevel="0" collapsed="false">
      <c r="B482" s="40"/>
      <c r="C482" s="41"/>
      <c r="D482" s="42"/>
      <c r="E482" s="40"/>
      <c r="F482" s="43"/>
      <c r="G482" s="44"/>
      <c r="H482" s="45"/>
      <c r="I482" s="45"/>
      <c r="J482" s="46"/>
      <c r="K482" s="47"/>
      <c r="L482" s="48"/>
      <c r="M482" s="48"/>
      <c r="N482" s="48"/>
      <c r="S482" s="49"/>
    </row>
    <row r="483" customFormat="false" ht="15.75" hidden="false" customHeight="true" outlineLevel="0" collapsed="false">
      <c r="B483" s="40"/>
      <c r="C483" s="41"/>
      <c r="D483" s="42"/>
      <c r="E483" s="40"/>
      <c r="F483" s="43"/>
      <c r="G483" s="44"/>
      <c r="H483" s="45"/>
      <c r="I483" s="45"/>
      <c r="J483" s="46"/>
      <c r="K483" s="47"/>
      <c r="L483" s="48"/>
      <c r="M483" s="48"/>
      <c r="N483" s="48"/>
      <c r="S483" s="49"/>
    </row>
    <row r="484" customFormat="false" ht="15.75" hidden="false" customHeight="true" outlineLevel="0" collapsed="false">
      <c r="B484" s="40"/>
      <c r="C484" s="41"/>
      <c r="D484" s="42"/>
      <c r="E484" s="40"/>
      <c r="F484" s="43"/>
      <c r="G484" s="44"/>
      <c r="H484" s="45"/>
      <c r="I484" s="45"/>
      <c r="J484" s="46"/>
      <c r="K484" s="47"/>
      <c r="L484" s="48"/>
      <c r="M484" s="48"/>
      <c r="N484" s="48"/>
      <c r="S484" s="49"/>
    </row>
    <row r="485" customFormat="false" ht="15.75" hidden="false" customHeight="true" outlineLevel="0" collapsed="false">
      <c r="B485" s="40"/>
      <c r="C485" s="41"/>
      <c r="D485" s="42"/>
      <c r="E485" s="40"/>
      <c r="F485" s="43"/>
      <c r="G485" s="44"/>
      <c r="H485" s="45"/>
      <c r="I485" s="45"/>
      <c r="J485" s="46"/>
      <c r="K485" s="47"/>
      <c r="L485" s="48"/>
      <c r="M485" s="48"/>
      <c r="N485" s="48"/>
      <c r="S485" s="49"/>
    </row>
    <row r="486" customFormat="false" ht="15.75" hidden="false" customHeight="true" outlineLevel="0" collapsed="false">
      <c r="B486" s="40"/>
      <c r="C486" s="41"/>
      <c r="D486" s="42"/>
      <c r="E486" s="40"/>
      <c r="F486" s="43"/>
      <c r="G486" s="44"/>
      <c r="H486" s="45"/>
      <c r="I486" s="45"/>
      <c r="J486" s="46"/>
      <c r="K486" s="47"/>
      <c r="L486" s="48"/>
      <c r="M486" s="48"/>
      <c r="N486" s="48"/>
      <c r="S486" s="49"/>
    </row>
    <row r="487" customFormat="false" ht="15.75" hidden="false" customHeight="true" outlineLevel="0" collapsed="false">
      <c r="B487" s="40"/>
      <c r="C487" s="41"/>
      <c r="D487" s="42"/>
      <c r="E487" s="40"/>
      <c r="F487" s="43"/>
      <c r="G487" s="44"/>
      <c r="H487" s="45"/>
      <c r="I487" s="45"/>
      <c r="J487" s="46"/>
      <c r="K487" s="47"/>
      <c r="L487" s="48"/>
      <c r="M487" s="48"/>
      <c r="N487" s="48"/>
      <c r="S487" s="49"/>
    </row>
    <row r="488" customFormat="false" ht="15.75" hidden="false" customHeight="true" outlineLevel="0" collapsed="false">
      <c r="B488" s="40"/>
      <c r="C488" s="41"/>
      <c r="D488" s="42"/>
      <c r="E488" s="40"/>
      <c r="F488" s="43"/>
      <c r="G488" s="44"/>
      <c r="H488" s="45"/>
      <c r="I488" s="45"/>
      <c r="J488" s="46"/>
      <c r="K488" s="47"/>
      <c r="L488" s="48"/>
      <c r="M488" s="48"/>
      <c r="N488" s="48"/>
      <c r="S488" s="49"/>
    </row>
    <row r="489" customFormat="false" ht="15.75" hidden="false" customHeight="true" outlineLevel="0" collapsed="false">
      <c r="B489" s="40"/>
      <c r="C489" s="41"/>
      <c r="D489" s="42"/>
      <c r="E489" s="40"/>
      <c r="F489" s="43"/>
      <c r="G489" s="44"/>
      <c r="H489" s="45"/>
      <c r="I489" s="45"/>
      <c r="J489" s="46"/>
      <c r="K489" s="47"/>
      <c r="L489" s="48"/>
      <c r="M489" s="48"/>
      <c r="N489" s="48"/>
      <c r="S489" s="49"/>
    </row>
    <row r="490" customFormat="false" ht="15.75" hidden="false" customHeight="true" outlineLevel="0" collapsed="false">
      <c r="B490" s="40"/>
      <c r="C490" s="41"/>
      <c r="D490" s="42"/>
      <c r="E490" s="40"/>
      <c r="F490" s="43"/>
      <c r="G490" s="44"/>
      <c r="H490" s="45"/>
      <c r="I490" s="45"/>
      <c r="J490" s="46"/>
      <c r="K490" s="47"/>
      <c r="L490" s="48"/>
      <c r="M490" s="48"/>
      <c r="N490" s="48"/>
      <c r="S490" s="49"/>
    </row>
    <row r="491" customFormat="false" ht="15.75" hidden="false" customHeight="true" outlineLevel="0" collapsed="false">
      <c r="B491" s="40"/>
      <c r="C491" s="41"/>
      <c r="D491" s="42"/>
      <c r="E491" s="40"/>
      <c r="F491" s="43"/>
      <c r="G491" s="44"/>
      <c r="H491" s="45"/>
      <c r="I491" s="45"/>
      <c r="J491" s="46"/>
      <c r="K491" s="47"/>
      <c r="L491" s="48"/>
      <c r="M491" s="48"/>
      <c r="N491" s="48"/>
      <c r="S491" s="49"/>
    </row>
    <row r="492" customFormat="false" ht="15.75" hidden="false" customHeight="true" outlineLevel="0" collapsed="false">
      <c r="B492" s="40"/>
      <c r="C492" s="41"/>
      <c r="D492" s="42"/>
      <c r="E492" s="40"/>
      <c r="F492" s="43"/>
      <c r="G492" s="44"/>
      <c r="H492" s="45"/>
      <c r="I492" s="45"/>
      <c r="J492" s="46"/>
      <c r="K492" s="47"/>
      <c r="L492" s="48"/>
      <c r="M492" s="48"/>
      <c r="N492" s="48"/>
      <c r="S492" s="49"/>
    </row>
    <row r="493" customFormat="false" ht="15.75" hidden="false" customHeight="true" outlineLevel="0" collapsed="false">
      <c r="B493" s="40"/>
      <c r="C493" s="41"/>
      <c r="D493" s="42"/>
      <c r="E493" s="40"/>
      <c r="F493" s="43"/>
      <c r="G493" s="44"/>
      <c r="H493" s="45"/>
      <c r="I493" s="45"/>
      <c r="J493" s="46"/>
      <c r="K493" s="47"/>
      <c r="L493" s="48"/>
      <c r="M493" s="48"/>
      <c r="N493" s="48"/>
      <c r="S493" s="49"/>
    </row>
    <row r="494" customFormat="false" ht="15.75" hidden="false" customHeight="true" outlineLevel="0" collapsed="false">
      <c r="B494" s="40"/>
      <c r="C494" s="41"/>
      <c r="D494" s="42"/>
      <c r="E494" s="40"/>
      <c r="F494" s="43"/>
      <c r="G494" s="44"/>
      <c r="H494" s="45"/>
      <c r="I494" s="45"/>
      <c r="J494" s="46"/>
      <c r="K494" s="47"/>
      <c r="L494" s="48"/>
      <c r="M494" s="48"/>
      <c r="N494" s="48"/>
      <c r="S494" s="49"/>
    </row>
    <row r="495" customFormat="false" ht="15.75" hidden="false" customHeight="true" outlineLevel="0" collapsed="false">
      <c r="B495" s="40"/>
      <c r="C495" s="41"/>
      <c r="D495" s="42"/>
      <c r="E495" s="40"/>
      <c r="F495" s="43"/>
      <c r="G495" s="44"/>
      <c r="H495" s="45"/>
      <c r="I495" s="45"/>
      <c r="J495" s="46"/>
      <c r="K495" s="47"/>
      <c r="L495" s="48"/>
      <c r="M495" s="48"/>
      <c r="N495" s="48"/>
      <c r="S495" s="49"/>
    </row>
    <row r="496" customFormat="false" ht="15.75" hidden="false" customHeight="true" outlineLevel="0" collapsed="false">
      <c r="B496" s="40"/>
      <c r="C496" s="41"/>
      <c r="D496" s="42"/>
      <c r="E496" s="40"/>
      <c r="F496" s="43"/>
      <c r="G496" s="44"/>
      <c r="H496" s="45"/>
      <c r="I496" s="45"/>
      <c r="J496" s="46"/>
      <c r="K496" s="47"/>
      <c r="L496" s="48"/>
      <c r="M496" s="48"/>
      <c r="N496" s="48"/>
      <c r="S496" s="49"/>
    </row>
    <row r="497" customFormat="false" ht="15.75" hidden="false" customHeight="true" outlineLevel="0" collapsed="false">
      <c r="B497" s="40"/>
      <c r="C497" s="41"/>
      <c r="D497" s="42"/>
      <c r="E497" s="40"/>
      <c r="F497" s="43"/>
      <c r="G497" s="44"/>
      <c r="H497" s="45"/>
      <c r="I497" s="45"/>
      <c r="J497" s="46"/>
      <c r="K497" s="47"/>
      <c r="L497" s="48"/>
      <c r="M497" s="48"/>
      <c r="N497" s="48"/>
      <c r="S497" s="49"/>
    </row>
    <row r="498" customFormat="false" ht="15.75" hidden="false" customHeight="true" outlineLevel="0" collapsed="false">
      <c r="B498" s="40"/>
      <c r="C498" s="41"/>
      <c r="D498" s="42"/>
      <c r="E498" s="40"/>
      <c r="F498" s="43"/>
      <c r="G498" s="44"/>
      <c r="H498" s="45"/>
      <c r="I498" s="45"/>
      <c r="J498" s="46"/>
      <c r="K498" s="47"/>
      <c r="L498" s="48"/>
      <c r="M498" s="48"/>
      <c r="N498" s="48"/>
      <c r="S498" s="49"/>
    </row>
    <row r="499" customFormat="false" ht="15.75" hidden="false" customHeight="true" outlineLevel="0" collapsed="false">
      <c r="B499" s="40"/>
      <c r="C499" s="41"/>
      <c r="D499" s="42"/>
      <c r="E499" s="40"/>
      <c r="F499" s="43"/>
      <c r="G499" s="44"/>
      <c r="H499" s="45"/>
      <c r="I499" s="45"/>
      <c r="J499" s="46"/>
      <c r="K499" s="47"/>
      <c r="L499" s="48"/>
      <c r="M499" s="48"/>
      <c r="N499" s="48"/>
      <c r="S499" s="49"/>
    </row>
    <row r="500" customFormat="false" ht="15.75" hidden="false" customHeight="true" outlineLevel="0" collapsed="false">
      <c r="B500" s="40"/>
      <c r="C500" s="41"/>
      <c r="D500" s="42"/>
      <c r="E500" s="40"/>
      <c r="F500" s="43"/>
      <c r="G500" s="44"/>
      <c r="H500" s="45"/>
      <c r="I500" s="45"/>
      <c r="J500" s="46"/>
      <c r="K500" s="47"/>
      <c r="L500" s="48"/>
      <c r="M500" s="48"/>
      <c r="N500" s="48"/>
      <c r="S500" s="49"/>
    </row>
    <row r="501" customFormat="false" ht="15.75" hidden="false" customHeight="true" outlineLevel="0" collapsed="false">
      <c r="B501" s="40"/>
      <c r="C501" s="41"/>
      <c r="D501" s="42"/>
      <c r="E501" s="40"/>
      <c r="F501" s="43"/>
      <c r="G501" s="44"/>
      <c r="H501" s="45"/>
      <c r="I501" s="45"/>
      <c r="J501" s="46"/>
      <c r="K501" s="47"/>
      <c r="L501" s="48"/>
      <c r="M501" s="48"/>
      <c r="N501" s="48"/>
      <c r="S501" s="49"/>
    </row>
    <row r="502" customFormat="false" ht="15.75" hidden="false" customHeight="true" outlineLevel="0" collapsed="false">
      <c r="B502" s="40"/>
      <c r="C502" s="41"/>
      <c r="D502" s="42"/>
      <c r="E502" s="40"/>
      <c r="F502" s="43"/>
      <c r="G502" s="44"/>
      <c r="H502" s="45"/>
      <c r="I502" s="45"/>
      <c r="J502" s="46"/>
      <c r="K502" s="47"/>
      <c r="L502" s="48"/>
      <c r="M502" s="48"/>
      <c r="N502" s="48"/>
      <c r="S502" s="49"/>
    </row>
    <row r="503" customFormat="false" ht="15.75" hidden="false" customHeight="true" outlineLevel="0" collapsed="false">
      <c r="B503" s="40"/>
      <c r="C503" s="41"/>
      <c r="D503" s="42"/>
      <c r="E503" s="40"/>
      <c r="F503" s="43"/>
      <c r="G503" s="44"/>
      <c r="H503" s="45"/>
      <c r="I503" s="45"/>
      <c r="J503" s="46"/>
      <c r="K503" s="47"/>
      <c r="L503" s="48"/>
      <c r="M503" s="48"/>
      <c r="N503" s="48"/>
      <c r="S503" s="49"/>
    </row>
    <row r="504" customFormat="false" ht="15.75" hidden="false" customHeight="true" outlineLevel="0" collapsed="false">
      <c r="B504" s="40"/>
      <c r="C504" s="41"/>
      <c r="D504" s="42"/>
      <c r="E504" s="40"/>
      <c r="F504" s="43"/>
      <c r="G504" s="44"/>
      <c r="H504" s="45"/>
      <c r="I504" s="45"/>
      <c r="J504" s="46"/>
      <c r="K504" s="47"/>
      <c r="L504" s="48"/>
      <c r="M504" s="48"/>
      <c r="N504" s="48"/>
      <c r="S504" s="49"/>
    </row>
    <row r="505" customFormat="false" ht="15.75" hidden="false" customHeight="true" outlineLevel="0" collapsed="false">
      <c r="B505" s="40"/>
      <c r="C505" s="41"/>
      <c r="D505" s="42"/>
      <c r="E505" s="40"/>
      <c r="F505" s="43"/>
      <c r="G505" s="44"/>
      <c r="H505" s="45"/>
      <c r="I505" s="45"/>
      <c r="J505" s="46"/>
      <c r="K505" s="47"/>
      <c r="L505" s="48"/>
      <c r="M505" s="48"/>
      <c r="N505" s="48"/>
      <c r="S505" s="49"/>
    </row>
    <row r="506" customFormat="false" ht="15.75" hidden="false" customHeight="true" outlineLevel="0" collapsed="false">
      <c r="B506" s="40"/>
      <c r="C506" s="41"/>
      <c r="D506" s="42"/>
      <c r="E506" s="40"/>
      <c r="F506" s="43"/>
      <c r="G506" s="44"/>
      <c r="H506" s="45"/>
      <c r="I506" s="45"/>
      <c r="J506" s="46"/>
      <c r="K506" s="47"/>
      <c r="L506" s="48"/>
      <c r="M506" s="48"/>
      <c r="N506" s="48"/>
      <c r="S506" s="49"/>
    </row>
    <row r="507" customFormat="false" ht="15.75" hidden="false" customHeight="true" outlineLevel="0" collapsed="false">
      <c r="B507" s="40"/>
      <c r="C507" s="41"/>
      <c r="D507" s="42"/>
      <c r="E507" s="40"/>
      <c r="F507" s="43"/>
      <c r="G507" s="44"/>
      <c r="H507" s="45"/>
      <c r="I507" s="45"/>
      <c r="J507" s="46"/>
      <c r="K507" s="47"/>
      <c r="L507" s="48"/>
      <c r="M507" s="48"/>
      <c r="N507" s="48"/>
      <c r="S507" s="49"/>
    </row>
    <row r="508" customFormat="false" ht="15.75" hidden="false" customHeight="true" outlineLevel="0" collapsed="false">
      <c r="B508" s="40"/>
      <c r="C508" s="41"/>
      <c r="D508" s="42"/>
      <c r="E508" s="40"/>
      <c r="F508" s="43"/>
      <c r="G508" s="44"/>
      <c r="H508" s="45"/>
      <c r="I508" s="45"/>
      <c r="J508" s="46"/>
      <c r="K508" s="47"/>
      <c r="L508" s="48"/>
      <c r="M508" s="48"/>
      <c r="N508" s="48"/>
      <c r="S508" s="49"/>
    </row>
    <row r="509" customFormat="false" ht="15.75" hidden="false" customHeight="true" outlineLevel="0" collapsed="false">
      <c r="B509" s="40"/>
      <c r="C509" s="41"/>
      <c r="D509" s="42"/>
      <c r="E509" s="40"/>
      <c r="F509" s="43"/>
      <c r="G509" s="44"/>
      <c r="H509" s="45"/>
      <c r="I509" s="45"/>
      <c r="J509" s="46"/>
      <c r="K509" s="47"/>
      <c r="L509" s="48"/>
      <c r="M509" s="48"/>
      <c r="N509" s="48"/>
      <c r="S509" s="49"/>
    </row>
    <row r="510" customFormat="false" ht="15.75" hidden="false" customHeight="true" outlineLevel="0" collapsed="false">
      <c r="B510" s="40"/>
      <c r="C510" s="41"/>
      <c r="D510" s="42"/>
      <c r="E510" s="40"/>
      <c r="F510" s="43"/>
      <c r="G510" s="44"/>
      <c r="H510" s="45"/>
      <c r="I510" s="45"/>
      <c r="J510" s="46"/>
      <c r="K510" s="47"/>
      <c r="L510" s="48"/>
      <c r="M510" s="48"/>
      <c r="N510" s="48"/>
      <c r="S510" s="49"/>
    </row>
    <row r="511" customFormat="false" ht="15.75" hidden="false" customHeight="true" outlineLevel="0" collapsed="false">
      <c r="B511" s="40"/>
      <c r="C511" s="41"/>
      <c r="D511" s="42"/>
      <c r="E511" s="40"/>
      <c r="F511" s="43"/>
      <c r="G511" s="44"/>
      <c r="H511" s="45"/>
      <c r="I511" s="45"/>
      <c r="J511" s="46"/>
      <c r="K511" s="47"/>
      <c r="L511" s="48"/>
      <c r="M511" s="48"/>
      <c r="N511" s="48"/>
      <c r="S511" s="49"/>
    </row>
    <row r="512" customFormat="false" ht="15.75" hidden="false" customHeight="true" outlineLevel="0" collapsed="false">
      <c r="B512" s="40"/>
      <c r="C512" s="41"/>
      <c r="D512" s="42"/>
      <c r="E512" s="40"/>
      <c r="F512" s="43"/>
      <c r="G512" s="44"/>
      <c r="H512" s="45"/>
      <c r="I512" s="45"/>
      <c r="J512" s="46"/>
      <c r="K512" s="47"/>
      <c r="L512" s="48"/>
      <c r="M512" s="48"/>
      <c r="N512" s="48"/>
      <c r="S512" s="49"/>
    </row>
    <row r="513" customFormat="false" ht="15.75" hidden="false" customHeight="true" outlineLevel="0" collapsed="false">
      <c r="B513" s="40"/>
      <c r="C513" s="41"/>
      <c r="D513" s="42"/>
      <c r="E513" s="40"/>
      <c r="F513" s="43"/>
      <c r="G513" s="44"/>
      <c r="H513" s="45"/>
      <c r="I513" s="45"/>
      <c r="J513" s="46"/>
      <c r="K513" s="47"/>
      <c r="L513" s="48"/>
      <c r="M513" s="48"/>
      <c r="N513" s="48"/>
      <c r="S513" s="49"/>
    </row>
    <row r="514" customFormat="false" ht="15.75" hidden="false" customHeight="true" outlineLevel="0" collapsed="false">
      <c r="B514" s="40"/>
      <c r="C514" s="41"/>
      <c r="D514" s="42"/>
      <c r="E514" s="40"/>
      <c r="F514" s="43"/>
      <c r="G514" s="44"/>
      <c r="H514" s="45"/>
      <c r="I514" s="45"/>
      <c r="J514" s="46"/>
      <c r="K514" s="47"/>
      <c r="L514" s="48"/>
      <c r="M514" s="48"/>
      <c r="N514" s="48"/>
      <c r="S514" s="49"/>
    </row>
    <row r="515" customFormat="false" ht="15.75" hidden="false" customHeight="true" outlineLevel="0" collapsed="false">
      <c r="B515" s="40"/>
      <c r="C515" s="41"/>
      <c r="D515" s="42"/>
      <c r="E515" s="40"/>
      <c r="F515" s="43"/>
      <c r="G515" s="44"/>
      <c r="H515" s="45"/>
      <c r="I515" s="45"/>
      <c r="J515" s="46"/>
      <c r="K515" s="47"/>
      <c r="L515" s="48"/>
      <c r="M515" s="48"/>
      <c r="N515" s="48"/>
      <c r="S515" s="49"/>
    </row>
    <row r="516" customFormat="false" ht="15.75" hidden="false" customHeight="true" outlineLevel="0" collapsed="false">
      <c r="B516" s="40"/>
      <c r="C516" s="41"/>
      <c r="D516" s="42"/>
      <c r="E516" s="40"/>
      <c r="F516" s="43"/>
      <c r="G516" s="44"/>
      <c r="H516" s="45"/>
      <c r="I516" s="45"/>
      <c r="J516" s="46"/>
      <c r="K516" s="47"/>
      <c r="L516" s="48"/>
      <c r="M516" s="48"/>
      <c r="N516" s="48"/>
      <c r="S516" s="49"/>
    </row>
    <row r="517" customFormat="false" ht="15.75" hidden="false" customHeight="true" outlineLevel="0" collapsed="false">
      <c r="B517" s="40"/>
      <c r="C517" s="41"/>
      <c r="D517" s="42"/>
      <c r="E517" s="40"/>
      <c r="F517" s="43"/>
      <c r="G517" s="44"/>
      <c r="H517" s="45"/>
      <c r="I517" s="45"/>
      <c r="J517" s="46"/>
      <c r="K517" s="47"/>
      <c r="L517" s="48"/>
      <c r="M517" s="48"/>
      <c r="N517" s="48"/>
      <c r="S517" s="49"/>
    </row>
    <row r="518" customFormat="false" ht="15.75" hidden="false" customHeight="true" outlineLevel="0" collapsed="false">
      <c r="B518" s="40"/>
      <c r="C518" s="41"/>
      <c r="D518" s="42"/>
      <c r="E518" s="40"/>
      <c r="F518" s="43"/>
      <c r="G518" s="44"/>
      <c r="H518" s="45"/>
      <c r="I518" s="45"/>
      <c r="J518" s="46"/>
      <c r="K518" s="47"/>
      <c r="L518" s="48"/>
      <c r="M518" s="48"/>
      <c r="N518" s="48"/>
      <c r="S518" s="49"/>
    </row>
    <row r="519" customFormat="false" ht="15.75" hidden="false" customHeight="true" outlineLevel="0" collapsed="false">
      <c r="B519" s="40"/>
      <c r="C519" s="41"/>
      <c r="D519" s="42"/>
      <c r="E519" s="40"/>
      <c r="F519" s="43"/>
      <c r="G519" s="44"/>
      <c r="H519" s="45"/>
      <c r="I519" s="45"/>
      <c r="J519" s="46"/>
      <c r="K519" s="47"/>
      <c r="L519" s="48"/>
      <c r="M519" s="48"/>
      <c r="N519" s="48"/>
      <c r="S519" s="49"/>
    </row>
    <row r="520" customFormat="false" ht="15.75" hidden="false" customHeight="true" outlineLevel="0" collapsed="false">
      <c r="B520" s="40"/>
      <c r="C520" s="41"/>
      <c r="D520" s="42"/>
      <c r="E520" s="40"/>
      <c r="F520" s="43"/>
      <c r="G520" s="44"/>
      <c r="H520" s="45"/>
      <c r="I520" s="45"/>
      <c r="J520" s="46"/>
      <c r="K520" s="47"/>
      <c r="L520" s="48"/>
      <c r="M520" s="48"/>
      <c r="N520" s="48"/>
      <c r="S520" s="49"/>
    </row>
    <row r="521" customFormat="false" ht="15.75" hidden="false" customHeight="true" outlineLevel="0" collapsed="false">
      <c r="B521" s="40"/>
      <c r="C521" s="41"/>
      <c r="D521" s="42"/>
      <c r="E521" s="40"/>
      <c r="F521" s="43"/>
      <c r="G521" s="44"/>
      <c r="H521" s="45"/>
      <c r="I521" s="45"/>
      <c r="J521" s="46"/>
      <c r="K521" s="47"/>
      <c r="L521" s="48"/>
      <c r="M521" s="48"/>
      <c r="N521" s="48"/>
      <c r="S521" s="49"/>
    </row>
    <row r="522" customFormat="false" ht="15.75" hidden="false" customHeight="true" outlineLevel="0" collapsed="false">
      <c r="B522" s="40"/>
      <c r="C522" s="41"/>
      <c r="D522" s="42"/>
      <c r="E522" s="40"/>
      <c r="F522" s="43"/>
      <c r="G522" s="44"/>
      <c r="H522" s="45"/>
      <c r="I522" s="45"/>
      <c r="J522" s="46"/>
      <c r="K522" s="47"/>
      <c r="L522" s="48"/>
      <c r="M522" s="48"/>
      <c r="N522" s="48"/>
      <c r="S522" s="49"/>
    </row>
    <row r="523" customFormat="false" ht="15.75" hidden="false" customHeight="true" outlineLevel="0" collapsed="false">
      <c r="B523" s="40"/>
      <c r="C523" s="41"/>
      <c r="D523" s="42"/>
      <c r="E523" s="40"/>
      <c r="F523" s="43"/>
      <c r="G523" s="44"/>
      <c r="H523" s="45"/>
      <c r="I523" s="45"/>
      <c r="J523" s="46"/>
      <c r="K523" s="47"/>
      <c r="L523" s="48"/>
      <c r="M523" s="48"/>
      <c r="N523" s="48"/>
      <c r="S523" s="49"/>
    </row>
    <row r="524" customFormat="false" ht="15.75" hidden="false" customHeight="true" outlineLevel="0" collapsed="false">
      <c r="B524" s="40"/>
      <c r="C524" s="41"/>
      <c r="D524" s="42"/>
      <c r="E524" s="40"/>
      <c r="F524" s="43"/>
      <c r="G524" s="44"/>
      <c r="H524" s="45"/>
      <c r="I524" s="45"/>
      <c r="J524" s="46"/>
      <c r="K524" s="47"/>
      <c r="L524" s="48"/>
      <c r="M524" s="48"/>
      <c r="N524" s="48"/>
      <c r="S524" s="49"/>
    </row>
    <row r="525" customFormat="false" ht="15.75" hidden="false" customHeight="true" outlineLevel="0" collapsed="false">
      <c r="B525" s="40"/>
      <c r="C525" s="41"/>
      <c r="D525" s="42"/>
      <c r="E525" s="40"/>
      <c r="F525" s="43"/>
      <c r="G525" s="44"/>
      <c r="H525" s="45"/>
      <c r="I525" s="45"/>
      <c r="J525" s="46"/>
      <c r="K525" s="47"/>
      <c r="L525" s="48"/>
      <c r="M525" s="48"/>
      <c r="N525" s="48"/>
      <c r="S525" s="49"/>
    </row>
    <row r="526" customFormat="false" ht="15.75" hidden="false" customHeight="true" outlineLevel="0" collapsed="false">
      <c r="B526" s="40"/>
      <c r="C526" s="41"/>
      <c r="D526" s="42"/>
      <c r="E526" s="40"/>
      <c r="F526" s="43"/>
      <c r="G526" s="44"/>
      <c r="H526" s="45"/>
      <c r="I526" s="45"/>
      <c r="J526" s="46"/>
      <c r="K526" s="47"/>
      <c r="L526" s="48"/>
      <c r="M526" s="48"/>
      <c r="N526" s="48"/>
      <c r="S526" s="49"/>
    </row>
    <row r="527" customFormat="false" ht="15.75" hidden="false" customHeight="true" outlineLevel="0" collapsed="false">
      <c r="B527" s="40"/>
      <c r="C527" s="41"/>
      <c r="D527" s="42"/>
      <c r="E527" s="40"/>
      <c r="F527" s="43"/>
      <c r="G527" s="44"/>
      <c r="H527" s="45"/>
      <c r="I527" s="45"/>
      <c r="J527" s="46"/>
      <c r="K527" s="47"/>
      <c r="L527" s="48"/>
      <c r="M527" s="48"/>
      <c r="N527" s="48"/>
      <c r="S527" s="49"/>
    </row>
    <row r="528" customFormat="false" ht="15.75" hidden="false" customHeight="true" outlineLevel="0" collapsed="false">
      <c r="B528" s="40"/>
      <c r="C528" s="41"/>
      <c r="D528" s="42"/>
      <c r="E528" s="40"/>
      <c r="F528" s="43"/>
      <c r="G528" s="44"/>
      <c r="H528" s="45"/>
      <c r="I528" s="45"/>
      <c r="J528" s="46"/>
      <c r="K528" s="47"/>
      <c r="L528" s="48"/>
      <c r="M528" s="48"/>
      <c r="N528" s="48"/>
      <c r="S528" s="49"/>
    </row>
    <row r="529" customFormat="false" ht="15.75" hidden="false" customHeight="true" outlineLevel="0" collapsed="false">
      <c r="B529" s="40"/>
      <c r="C529" s="41"/>
      <c r="D529" s="42"/>
      <c r="E529" s="40"/>
      <c r="F529" s="43"/>
      <c r="G529" s="44"/>
      <c r="H529" s="45"/>
      <c r="I529" s="45"/>
      <c r="J529" s="46"/>
      <c r="K529" s="47"/>
      <c r="L529" s="48"/>
      <c r="M529" s="48"/>
      <c r="N529" s="48"/>
      <c r="S529" s="49"/>
    </row>
    <row r="530" customFormat="false" ht="15.75" hidden="false" customHeight="true" outlineLevel="0" collapsed="false">
      <c r="B530" s="40"/>
      <c r="C530" s="41"/>
      <c r="D530" s="42"/>
      <c r="E530" s="40"/>
      <c r="F530" s="43"/>
      <c r="G530" s="44"/>
      <c r="H530" s="45"/>
      <c r="I530" s="45"/>
      <c r="J530" s="46"/>
      <c r="K530" s="47"/>
      <c r="L530" s="48"/>
      <c r="M530" s="48"/>
      <c r="N530" s="48"/>
      <c r="S530" s="49"/>
    </row>
    <row r="531" customFormat="false" ht="15.75" hidden="false" customHeight="true" outlineLevel="0" collapsed="false">
      <c r="B531" s="40"/>
      <c r="C531" s="41"/>
      <c r="D531" s="42"/>
      <c r="E531" s="40"/>
      <c r="F531" s="43"/>
      <c r="G531" s="44"/>
      <c r="H531" s="45"/>
      <c r="I531" s="45"/>
      <c r="J531" s="46"/>
      <c r="K531" s="47"/>
      <c r="L531" s="48"/>
      <c r="M531" s="48"/>
      <c r="N531" s="48"/>
      <c r="S531" s="49"/>
    </row>
    <row r="532" customFormat="false" ht="15.75" hidden="false" customHeight="true" outlineLevel="0" collapsed="false">
      <c r="B532" s="40"/>
      <c r="C532" s="41"/>
      <c r="D532" s="42"/>
      <c r="E532" s="40"/>
      <c r="F532" s="43"/>
      <c r="G532" s="44"/>
      <c r="H532" s="45"/>
      <c r="I532" s="45"/>
      <c r="J532" s="46"/>
      <c r="K532" s="47"/>
      <c r="L532" s="48"/>
      <c r="M532" s="48"/>
      <c r="N532" s="48"/>
      <c r="S532" s="49"/>
    </row>
    <row r="533" customFormat="false" ht="15.75" hidden="false" customHeight="true" outlineLevel="0" collapsed="false">
      <c r="B533" s="40"/>
      <c r="C533" s="41"/>
      <c r="D533" s="42"/>
      <c r="E533" s="40"/>
      <c r="F533" s="43"/>
      <c r="G533" s="44"/>
      <c r="H533" s="45"/>
      <c r="I533" s="45"/>
      <c r="J533" s="46"/>
      <c r="K533" s="47"/>
      <c r="L533" s="48"/>
      <c r="M533" s="48"/>
      <c r="N533" s="48"/>
      <c r="S533" s="49"/>
    </row>
    <row r="534" customFormat="false" ht="15.75" hidden="false" customHeight="true" outlineLevel="0" collapsed="false">
      <c r="B534" s="40"/>
      <c r="C534" s="41"/>
      <c r="D534" s="42"/>
      <c r="E534" s="40"/>
      <c r="F534" s="43"/>
      <c r="G534" s="44"/>
      <c r="H534" s="45"/>
      <c r="I534" s="45"/>
      <c r="J534" s="46"/>
      <c r="K534" s="47"/>
      <c r="L534" s="48"/>
      <c r="M534" s="48"/>
      <c r="N534" s="48"/>
      <c r="S534" s="49"/>
    </row>
    <row r="535" customFormat="false" ht="15.75" hidden="false" customHeight="true" outlineLevel="0" collapsed="false">
      <c r="B535" s="40"/>
      <c r="C535" s="41"/>
      <c r="D535" s="42"/>
      <c r="E535" s="40"/>
      <c r="F535" s="43"/>
      <c r="G535" s="44"/>
      <c r="H535" s="45"/>
      <c r="I535" s="45"/>
      <c r="J535" s="46"/>
      <c r="K535" s="47"/>
      <c r="L535" s="48"/>
      <c r="M535" s="48"/>
      <c r="N535" s="48"/>
      <c r="S535" s="49"/>
    </row>
    <row r="536" customFormat="false" ht="15.75" hidden="false" customHeight="true" outlineLevel="0" collapsed="false">
      <c r="B536" s="40"/>
      <c r="C536" s="41"/>
      <c r="D536" s="42"/>
      <c r="E536" s="40"/>
      <c r="F536" s="43"/>
      <c r="G536" s="44"/>
      <c r="H536" s="45"/>
      <c r="I536" s="45"/>
      <c r="J536" s="46"/>
      <c r="K536" s="47"/>
      <c r="L536" s="48"/>
      <c r="M536" s="48"/>
      <c r="N536" s="48"/>
      <c r="S536" s="49"/>
    </row>
    <row r="537" customFormat="false" ht="15.75" hidden="false" customHeight="true" outlineLevel="0" collapsed="false">
      <c r="B537" s="40"/>
      <c r="C537" s="41"/>
      <c r="D537" s="42"/>
      <c r="E537" s="40"/>
      <c r="F537" s="43"/>
      <c r="G537" s="44"/>
      <c r="H537" s="45"/>
      <c r="I537" s="45"/>
      <c r="J537" s="46"/>
      <c r="K537" s="47"/>
      <c r="L537" s="48"/>
      <c r="M537" s="48"/>
      <c r="N537" s="48"/>
      <c r="S537" s="49"/>
    </row>
    <row r="538" customFormat="false" ht="15.75" hidden="false" customHeight="true" outlineLevel="0" collapsed="false">
      <c r="B538" s="40"/>
      <c r="C538" s="41"/>
      <c r="D538" s="42"/>
      <c r="E538" s="40"/>
      <c r="F538" s="43"/>
      <c r="G538" s="44"/>
      <c r="H538" s="45"/>
      <c r="I538" s="45"/>
      <c r="J538" s="46"/>
      <c r="K538" s="47"/>
      <c r="L538" s="48"/>
      <c r="M538" s="48"/>
      <c r="N538" s="48"/>
      <c r="S538" s="49"/>
    </row>
    <row r="539" customFormat="false" ht="15.75" hidden="false" customHeight="true" outlineLevel="0" collapsed="false">
      <c r="B539" s="40"/>
      <c r="C539" s="41"/>
      <c r="D539" s="42"/>
      <c r="E539" s="40"/>
      <c r="F539" s="43"/>
      <c r="G539" s="44"/>
      <c r="H539" s="45"/>
      <c r="I539" s="45"/>
      <c r="J539" s="46"/>
      <c r="K539" s="47"/>
      <c r="L539" s="48"/>
      <c r="M539" s="48"/>
      <c r="N539" s="48"/>
      <c r="S539" s="49"/>
    </row>
    <row r="540" customFormat="false" ht="15.75" hidden="false" customHeight="true" outlineLevel="0" collapsed="false">
      <c r="B540" s="40"/>
      <c r="C540" s="41"/>
      <c r="D540" s="42"/>
      <c r="E540" s="40"/>
      <c r="F540" s="43"/>
      <c r="G540" s="44"/>
      <c r="H540" s="45"/>
      <c r="I540" s="45"/>
      <c r="J540" s="46"/>
      <c r="K540" s="47"/>
      <c r="L540" s="48"/>
      <c r="M540" s="48"/>
      <c r="N540" s="48"/>
      <c r="S540" s="49"/>
    </row>
    <row r="541" customFormat="false" ht="15.75" hidden="false" customHeight="true" outlineLevel="0" collapsed="false">
      <c r="B541" s="40"/>
      <c r="C541" s="41"/>
      <c r="D541" s="42"/>
      <c r="E541" s="40"/>
      <c r="F541" s="43"/>
      <c r="G541" s="44"/>
      <c r="H541" s="45"/>
      <c r="I541" s="45"/>
      <c r="J541" s="46"/>
      <c r="K541" s="47"/>
      <c r="L541" s="48"/>
      <c r="M541" s="48"/>
      <c r="N541" s="48"/>
      <c r="S541" s="49"/>
    </row>
    <row r="542" customFormat="false" ht="15.75" hidden="false" customHeight="true" outlineLevel="0" collapsed="false">
      <c r="B542" s="40"/>
      <c r="C542" s="41"/>
      <c r="D542" s="42"/>
      <c r="E542" s="40"/>
      <c r="F542" s="43"/>
      <c r="G542" s="44"/>
      <c r="H542" s="45"/>
      <c r="I542" s="45"/>
      <c r="J542" s="46"/>
      <c r="K542" s="47"/>
      <c r="L542" s="48"/>
      <c r="M542" s="48"/>
      <c r="N542" s="48"/>
      <c r="S542" s="49"/>
    </row>
    <row r="543" customFormat="false" ht="15.75" hidden="false" customHeight="true" outlineLevel="0" collapsed="false">
      <c r="B543" s="40"/>
      <c r="C543" s="41"/>
      <c r="D543" s="42"/>
      <c r="E543" s="40"/>
      <c r="F543" s="43"/>
      <c r="G543" s="44"/>
      <c r="H543" s="45"/>
      <c r="I543" s="45"/>
      <c r="J543" s="46"/>
      <c r="K543" s="47"/>
      <c r="L543" s="48"/>
      <c r="M543" s="48"/>
      <c r="N543" s="48"/>
      <c r="S543" s="49"/>
    </row>
    <row r="544" customFormat="false" ht="15.75" hidden="false" customHeight="true" outlineLevel="0" collapsed="false">
      <c r="B544" s="40"/>
      <c r="C544" s="41"/>
      <c r="D544" s="42"/>
      <c r="E544" s="40"/>
      <c r="F544" s="43"/>
      <c r="G544" s="44"/>
      <c r="H544" s="45"/>
      <c r="I544" s="45"/>
      <c r="J544" s="46"/>
      <c r="K544" s="47"/>
      <c r="L544" s="48"/>
      <c r="M544" s="48"/>
      <c r="N544" s="48"/>
      <c r="S544" s="49"/>
    </row>
    <row r="545" customFormat="false" ht="15.75" hidden="false" customHeight="true" outlineLevel="0" collapsed="false">
      <c r="B545" s="40"/>
      <c r="C545" s="41"/>
      <c r="D545" s="42"/>
      <c r="E545" s="40"/>
      <c r="F545" s="43"/>
      <c r="G545" s="44"/>
      <c r="H545" s="45"/>
      <c r="I545" s="45"/>
      <c r="J545" s="46"/>
      <c r="K545" s="47"/>
      <c r="L545" s="48"/>
      <c r="M545" s="48"/>
      <c r="N545" s="48"/>
      <c r="S545" s="49"/>
    </row>
    <row r="546" customFormat="false" ht="15.75" hidden="false" customHeight="true" outlineLevel="0" collapsed="false">
      <c r="B546" s="40"/>
      <c r="C546" s="41"/>
      <c r="D546" s="42"/>
      <c r="E546" s="40"/>
      <c r="F546" s="43"/>
      <c r="G546" s="44"/>
      <c r="H546" s="45"/>
      <c r="I546" s="45"/>
      <c r="J546" s="46"/>
      <c r="K546" s="47"/>
      <c r="L546" s="48"/>
      <c r="M546" s="48"/>
      <c r="N546" s="48"/>
      <c r="S546" s="49"/>
    </row>
    <row r="547" customFormat="false" ht="15.75" hidden="false" customHeight="true" outlineLevel="0" collapsed="false">
      <c r="B547" s="40"/>
      <c r="C547" s="41"/>
      <c r="D547" s="42"/>
      <c r="E547" s="40"/>
      <c r="F547" s="43"/>
      <c r="G547" s="44"/>
      <c r="H547" s="45"/>
      <c r="I547" s="45"/>
      <c r="J547" s="46"/>
      <c r="K547" s="47"/>
      <c r="L547" s="48"/>
      <c r="M547" s="48"/>
      <c r="N547" s="48"/>
      <c r="S547" s="49"/>
    </row>
    <row r="548" customFormat="false" ht="15.75" hidden="false" customHeight="true" outlineLevel="0" collapsed="false">
      <c r="B548" s="40"/>
      <c r="C548" s="41"/>
      <c r="D548" s="42"/>
      <c r="E548" s="40"/>
      <c r="F548" s="43"/>
      <c r="G548" s="44"/>
      <c r="H548" s="45"/>
      <c r="I548" s="45"/>
      <c r="J548" s="46"/>
      <c r="K548" s="47"/>
      <c r="L548" s="48"/>
      <c r="M548" s="48"/>
      <c r="N548" s="48"/>
      <c r="S548" s="49"/>
    </row>
    <row r="549" customFormat="false" ht="15.75" hidden="false" customHeight="true" outlineLevel="0" collapsed="false">
      <c r="B549" s="40"/>
      <c r="C549" s="41"/>
      <c r="D549" s="42"/>
      <c r="E549" s="40"/>
      <c r="F549" s="43"/>
      <c r="G549" s="44"/>
      <c r="H549" s="45"/>
      <c r="I549" s="45"/>
      <c r="J549" s="46"/>
      <c r="K549" s="47"/>
      <c r="L549" s="48"/>
      <c r="M549" s="48"/>
      <c r="N549" s="48"/>
      <c r="S549" s="49"/>
    </row>
    <row r="550" customFormat="false" ht="15.75" hidden="false" customHeight="true" outlineLevel="0" collapsed="false">
      <c r="B550" s="40"/>
      <c r="C550" s="41"/>
      <c r="D550" s="42"/>
      <c r="E550" s="40"/>
      <c r="F550" s="43"/>
      <c r="G550" s="44"/>
      <c r="H550" s="45"/>
      <c r="I550" s="45"/>
      <c r="J550" s="46"/>
      <c r="K550" s="47"/>
      <c r="L550" s="48"/>
      <c r="M550" s="48"/>
      <c r="N550" s="48"/>
      <c r="S550" s="49"/>
    </row>
    <row r="551" customFormat="false" ht="15.75" hidden="false" customHeight="true" outlineLevel="0" collapsed="false">
      <c r="B551" s="40"/>
      <c r="C551" s="41"/>
      <c r="D551" s="42"/>
      <c r="E551" s="40"/>
      <c r="F551" s="43"/>
      <c r="G551" s="44"/>
      <c r="H551" s="45"/>
      <c r="I551" s="45"/>
      <c r="J551" s="46"/>
      <c r="K551" s="47"/>
      <c r="L551" s="48"/>
      <c r="M551" s="48"/>
      <c r="N551" s="48"/>
      <c r="S551" s="49"/>
    </row>
    <row r="552" customFormat="false" ht="15.75" hidden="false" customHeight="true" outlineLevel="0" collapsed="false">
      <c r="B552" s="40"/>
      <c r="C552" s="41"/>
      <c r="D552" s="42"/>
      <c r="E552" s="40"/>
      <c r="F552" s="43"/>
      <c r="G552" s="44"/>
      <c r="H552" s="45"/>
      <c r="I552" s="45"/>
      <c r="J552" s="46"/>
      <c r="K552" s="47"/>
      <c r="L552" s="48"/>
      <c r="M552" s="48"/>
      <c r="N552" s="48"/>
      <c r="S552" s="49"/>
    </row>
    <row r="553" customFormat="false" ht="15.75" hidden="false" customHeight="true" outlineLevel="0" collapsed="false">
      <c r="B553" s="40"/>
      <c r="C553" s="41"/>
      <c r="D553" s="42"/>
      <c r="E553" s="40"/>
      <c r="F553" s="43"/>
      <c r="G553" s="44"/>
      <c r="H553" s="45"/>
      <c r="I553" s="45"/>
      <c r="J553" s="46"/>
      <c r="K553" s="47"/>
      <c r="L553" s="48"/>
      <c r="M553" s="48"/>
      <c r="N553" s="48"/>
      <c r="S553" s="49"/>
    </row>
    <row r="554" customFormat="false" ht="15.75" hidden="false" customHeight="true" outlineLevel="0" collapsed="false">
      <c r="B554" s="40"/>
      <c r="C554" s="41"/>
      <c r="D554" s="42"/>
      <c r="E554" s="40"/>
      <c r="F554" s="43"/>
      <c r="G554" s="44"/>
      <c r="H554" s="45"/>
      <c r="I554" s="45"/>
      <c r="J554" s="46"/>
      <c r="K554" s="47"/>
      <c r="L554" s="48"/>
      <c r="M554" s="48"/>
      <c r="N554" s="48"/>
      <c r="S554" s="49"/>
    </row>
    <row r="555" customFormat="false" ht="15.75" hidden="false" customHeight="true" outlineLevel="0" collapsed="false">
      <c r="B555" s="40"/>
      <c r="C555" s="41"/>
      <c r="D555" s="42"/>
      <c r="E555" s="40"/>
      <c r="F555" s="43"/>
      <c r="G555" s="44"/>
      <c r="H555" s="45"/>
      <c r="I555" s="45"/>
      <c r="J555" s="46"/>
      <c r="K555" s="47"/>
      <c r="L555" s="48"/>
      <c r="M555" s="48"/>
      <c r="N555" s="48"/>
      <c r="S555" s="49"/>
    </row>
    <row r="556" customFormat="false" ht="15.75" hidden="false" customHeight="true" outlineLevel="0" collapsed="false">
      <c r="B556" s="40"/>
      <c r="C556" s="41"/>
      <c r="D556" s="42"/>
      <c r="E556" s="40"/>
      <c r="F556" s="43"/>
      <c r="G556" s="44"/>
      <c r="H556" s="45"/>
      <c r="I556" s="45"/>
      <c r="J556" s="46"/>
      <c r="K556" s="47"/>
      <c r="L556" s="48"/>
      <c r="M556" s="48"/>
      <c r="N556" s="48"/>
      <c r="S556" s="49"/>
    </row>
    <row r="557" customFormat="false" ht="15.75" hidden="false" customHeight="true" outlineLevel="0" collapsed="false">
      <c r="B557" s="40"/>
      <c r="C557" s="41"/>
      <c r="D557" s="42"/>
      <c r="E557" s="40"/>
      <c r="F557" s="43"/>
      <c r="G557" s="44"/>
      <c r="H557" s="45"/>
      <c r="I557" s="45"/>
      <c r="J557" s="46"/>
      <c r="K557" s="47"/>
      <c r="L557" s="48"/>
      <c r="M557" s="48"/>
      <c r="N557" s="48"/>
      <c r="S557" s="49"/>
    </row>
    <row r="558" customFormat="false" ht="15.75" hidden="false" customHeight="true" outlineLevel="0" collapsed="false">
      <c r="B558" s="40"/>
      <c r="C558" s="41"/>
      <c r="D558" s="42"/>
      <c r="E558" s="40"/>
      <c r="F558" s="43"/>
      <c r="G558" s="44"/>
      <c r="H558" s="45"/>
      <c r="I558" s="45"/>
      <c r="J558" s="46"/>
      <c r="K558" s="47"/>
      <c r="L558" s="48"/>
      <c r="M558" s="48"/>
      <c r="N558" s="48"/>
      <c r="S558" s="49"/>
    </row>
    <row r="559" customFormat="false" ht="15.75" hidden="false" customHeight="true" outlineLevel="0" collapsed="false">
      <c r="B559" s="40"/>
      <c r="C559" s="41"/>
      <c r="D559" s="42"/>
      <c r="E559" s="40"/>
      <c r="F559" s="43"/>
      <c r="G559" s="44"/>
      <c r="H559" s="45"/>
      <c r="I559" s="45"/>
      <c r="J559" s="46"/>
      <c r="K559" s="47"/>
      <c r="L559" s="48"/>
      <c r="M559" s="48"/>
      <c r="N559" s="48"/>
      <c r="S559" s="49"/>
    </row>
    <row r="560" customFormat="false" ht="15.75" hidden="false" customHeight="true" outlineLevel="0" collapsed="false">
      <c r="B560" s="40"/>
      <c r="C560" s="41"/>
      <c r="D560" s="42"/>
      <c r="E560" s="40"/>
      <c r="F560" s="43"/>
      <c r="G560" s="44"/>
      <c r="H560" s="45"/>
      <c r="I560" s="45"/>
      <c r="J560" s="46"/>
      <c r="K560" s="47"/>
      <c r="L560" s="48"/>
      <c r="M560" s="48"/>
      <c r="N560" s="48"/>
      <c r="S560" s="49"/>
    </row>
    <row r="561" customFormat="false" ht="15.75" hidden="false" customHeight="true" outlineLevel="0" collapsed="false">
      <c r="B561" s="40"/>
      <c r="C561" s="41"/>
      <c r="D561" s="42"/>
      <c r="E561" s="40"/>
      <c r="F561" s="43"/>
      <c r="G561" s="44"/>
      <c r="H561" s="45"/>
      <c r="I561" s="45"/>
      <c r="J561" s="46"/>
      <c r="K561" s="47"/>
      <c r="L561" s="48"/>
      <c r="M561" s="48"/>
      <c r="N561" s="48"/>
      <c r="S561" s="49"/>
    </row>
    <row r="562" customFormat="false" ht="15.75" hidden="false" customHeight="true" outlineLevel="0" collapsed="false">
      <c r="B562" s="40"/>
      <c r="C562" s="41"/>
      <c r="D562" s="42"/>
      <c r="E562" s="40"/>
      <c r="F562" s="43"/>
      <c r="G562" s="44"/>
      <c r="H562" s="45"/>
      <c r="I562" s="45"/>
      <c r="J562" s="46"/>
      <c r="K562" s="47"/>
      <c r="L562" s="48"/>
      <c r="M562" s="48"/>
      <c r="N562" s="48"/>
      <c r="S562" s="49"/>
    </row>
    <row r="563" customFormat="false" ht="15.75" hidden="false" customHeight="true" outlineLevel="0" collapsed="false">
      <c r="B563" s="40"/>
      <c r="C563" s="41"/>
      <c r="D563" s="42"/>
      <c r="E563" s="40"/>
      <c r="F563" s="43"/>
      <c r="G563" s="44"/>
      <c r="H563" s="45"/>
      <c r="I563" s="45"/>
      <c r="J563" s="46"/>
      <c r="K563" s="47"/>
      <c r="L563" s="48"/>
      <c r="M563" s="48"/>
      <c r="N563" s="48"/>
      <c r="S563" s="49"/>
    </row>
    <row r="564" customFormat="false" ht="15.75" hidden="false" customHeight="true" outlineLevel="0" collapsed="false">
      <c r="B564" s="40"/>
      <c r="C564" s="41"/>
      <c r="D564" s="42"/>
      <c r="E564" s="40"/>
      <c r="F564" s="43"/>
      <c r="G564" s="44"/>
      <c r="H564" s="45"/>
      <c r="I564" s="45"/>
      <c r="J564" s="46"/>
      <c r="K564" s="47"/>
      <c r="L564" s="48"/>
      <c r="M564" s="48"/>
      <c r="N564" s="48"/>
      <c r="S564" s="49"/>
    </row>
    <row r="565" customFormat="false" ht="15.75" hidden="false" customHeight="true" outlineLevel="0" collapsed="false">
      <c r="B565" s="40"/>
      <c r="C565" s="41"/>
      <c r="D565" s="42"/>
      <c r="E565" s="40"/>
      <c r="F565" s="43"/>
      <c r="G565" s="44"/>
      <c r="H565" s="45"/>
      <c r="I565" s="45"/>
      <c r="J565" s="46"/>
      <c r="K565" s="47"/>
      <c r="L565" s="48"/>
      <c r="M565" s="48"/>
      <c r="N565" s="48"/>
      <c r="S565" s="49"/>
    </row>
    <row r="566" customFormat="false" ht="15.75" hidden="false" customHeight="true" outlineLevel="0" collapsed="false">
      <c r="B566" s="40"/>
      <c r="C566" s="41"/>
      <c r="D566" s="42"/>
      <c r="E566" s="40"/>
      <c r="F566" s="43"/>
      <c r="G566" s="44"/>
      <c r="H566" s="45"/>
      <c r="I566" s="45"/>
      <c r="J566" s="46"/>
      <c r="K566" s="47"/>
      <c r="L566" s="48"/>
      <c r="M566" s="48"/>
      <c r="N566" s="48"/>
      <c r="S566" s="49"/>
    </row>
    <row r="567" customFormat="false" ht="15.75" hidden="false" customHeight="true" outlineLevel="0" collapsed="false">
      <c r="B567" s="40"/>
      <c r="C567" s="41"/>
      <c r="D567" s="42"/>
      <c r="E567" s="40"/>
      <c r="F567" s="43"/>
      <c r="G567" s="44"/>
      <c r="H567" s="45"/>
      <c r="I567" s="45"/>
      <c r="J567" s="46"/>
      <c r="K567" s="47"/>
      <c r="L567" s="48"/>
      <c r="M567" s="48"/>
      <c r="N567" s="48"/>
      <c r="S567" s="49"/>
    </row>
    <row r="568" customFormat="false" ht="15.75" hidden="false" customHeight="true" outlineLevel="0" collapsed="false">
      <c r="B568" s="40"/>
      <c r="C568" s="41"/>
      <c r="D568" s="42"/>
      <c r="E568" s="40"/>
      <c r="F568" s="43"/>
      <c r="G568" s="44"/>
      <c r="H568" s="45"/>
      <c r="I568" s="45"/>
      <c r="J568" s="46"/>
      <c r="K568" s="47"/>
      <c r="L568" s="48"/>
      <c r="M568" s="48"/>
      <c r="N568" s="48"/>
      <c r="S568" s="49"/>
    </row>
    <row r="569" customFormat="false" ht="15.75" hidden="false" customHeight="true" outlineLevel="0" collapsed="false">
      <c r="B569" s="40"/>
      <c r="C569" s="41"/>
      <c r="D569" s="42"/>
      <c r="E569" s="40"/>
      <c r="F569" s="43"/>
      <c r="G569" s="44"/>
      <c r="H569" s="45"/>
      <c r="I569" s="45"/>
      <c r="J569" s="46"/>
      <c r="K569" s="47"/>
      <c r="L569" s="48"/>
      <c r="M569" s="48"/>
      <c r="N569" s="48"/>
      <c r="S569" s="49"/>
    </row>
    <row r="570" customFormat="false" ht="15.75" hidden="false" customHeight="true" outlineLevel="0" collapsed="false">
      <c r="B570" s="40"/>
      <c r="C570" s="41"/>
      <c r="D570" s="42"/>
      <c r="E570" s="40"/>
      <c r="F570" s="43"/>
      <c r="G570" s="44"/>
      <c r="H570" s="45"/>
      <c r="I570" s="45"/>
      <c r="J570" s="46"/>
      <c r="K570" s="47"/>
      <c r="L570" s="48"/>
      <c r="M570" s="48"/>
      <c r="N570" s="48"/>
      <c r="S570" s="49"/>
    </row>
    <row r="571" customFormat="false" ht="15.75" hidden="false" customHeight="true" outlineLevel="0" collapsed="false">
      <c r="B571" s="40"/>
      <c r="C571" s="41"/>
      <c r="D571" s="42"/>
      <c r="E571" s="40"/>
      <c r="F571" s="43"/>
      <c r="G571" s="44"/>
      <c r="H571" s="45"/>
      <c r="I571" s="45"/>
      <c r="J571" s="46"/>
      <c r="K571" s="47"/>
      <c r="L571" s="48"/>
      <c r="M571" s="48"/>
      <c r="N571" s="48"/>
      <c r="S571" s="49"/>
    </row>
    <row r="572" customFormat="false" ht="15.75" hidden="false" customHeight="true" outlineLevel="0" collapsed="false">
      <c r="B572" s="40"/>
      <c r="C572" s="41"/>
      <c r="D572" s="42"/>
      <c r="E572" s="40"/>
      <c r="F572" s="43"/>
      <c r="G572" s="44"/>
      <c r="H572" s="45"/>
      <c r="I572" s="45"/>
      <c r="J572" s="46"/>
      <c r="K572" s="47"/>
      <c r="L572" s="48"/>
      <c r="M572" s="48"/>
      <c r="N572" s="48"/>
      <c r="S572" s="49"/>
    </row>
    <row r="573" customFormat="false" ht="15.75" hidden="false" customHeight="true" outlineLevel="0" collapsed="false">
      <c r="B573" s="40"/>
      <c r="C573" s="41"/>
      <c r="D573" s="42"/>
      <c r="E573" s="40"/>
      <c r="F573" s="43"/>
      <c r="G573" s="44"/>
      <c r="H573" s="45"/>
      <c r="I573" s="45"/>
      <c r="J573" s="46"/>
      <c r="K573" s="47"/>
      <c r="L573" s="48"/>
      <c r="M573" s="48"/>
      <c r="N573" s="48"/>
      <c r="S573" s="49"/>
    </row>
    <row r="574" customFormat="false" ht="15.75" hidden="false" customHeight="true" outlineLevel="0" collapsed="false">
      <c r="B574" s="40"/>
      <c r="C574" s="41"/>
      <c r="D574" s="42"/>
      <c r="E574" s="40"/>
      <c r="F574" s="43"/>
      <c r="G574" s="44"/>
      <c r="H574" s="45"/>
      <c r="I574" s="45"/>
      <c r="J574" s="46"/>
      <c r="K574" s="47"/>
      <c r="L574" s="48"/>
      <c r="M574" s="48"/>
      <c r="N574" s="48"/>
      <c r="S574" s="49"/>
    </row>
    <row r="575" customFormat="false" ht="15.75" hidden="false" customHeight="true" outlineLevel="0" collapsed="false">
      <c r="B575" s="40"/>
      <c r="C575" s="41"/>
      <c r="D575" s="42"/>
      <c r="E575" s="40"/>
      <c r="F575" s="43"/>
      <c r="G575" s="44"/>
      <c r="H575" s="45"/>
      <c r="I575" s="45"/>
      <c r="J575" s="46"/>
      <c r="K575" s="47"/>
      <c r="L575" s="48"/>
      <c r="M575" s="48"/>
      <c r="N575" s="48"/>
      <c r="S575" s="49"/>
    </row>
    <row r="576" customFormat="false" ht="15.75" hidden="false" customHeight="true" outlineLevel="0" collapsed="false">
      <c r="B576" s="40"/>
      <c r="C576" s="41"/>
      <c r="D576" s="42"/>
      <c r="E576" s="40"/>
      <c r="F576" s="43"/>
      <c r="G576" s="44"/>
      <c r="H576" s="45"/>
      <c r="I576" s="45"/>
      <c r="J576" s="46"/>
      <c r="K576" s="47"/>
      <c r="L576" s="48"/>
      <c r="M576" s="48"/>
      <c r="N576" s="48"/>
      <c r="S576" s="49"/>
    </row>
    <row r="577" customFormat="false" ht="15.75" hidden="false" customHeight="true" outlineLevel="0" collapsed="false">
      <c r="B577" s="40"/>
      <c r="C577" s="41"/>
      <c r="D577" s="42"/>
      <c r="E577" s="40"/>
      <c r="F577" s="43"/>
      <c r="G577" s="44"/>
      <c r="H577" s="45"/>
      <c r="I577" s="45"/>
      <c r="J577" s="46"/>
      <c r="K577" s="47"/>
      <c r="L577" s="48"/>
      <c r="M577" s="48"/>
      <c r="N577" s="48"/>
      <c r="S577" s="49"/>
    </row>
    <row r="578" customFormat="false" ht="15.75" hidden="false" customHeight="true" outlineLevel="0" collapsed="false">
      <c r="B578" s="40"/>
      <c r="C578" s="41"/>
      <c r="D578" s="42"/>
      <c r="E578" s="40"/>
      <c r="F578" s="43"/>
      <c r="G578" s="44"/>
      <c r="H578" s="45"/>
      <c r="I578" s="45"/>
      <c r="J578" s="46"/>
      <c r="K578" s="47"/>
      <c r="L578" s="48"/>
      <c r="M578" s="48"/>
      <c r="N578" s="48"/>
      <c r="S578" s="49"/>
    </row>
    <row r="579" customFormat="false" ht="15.75" hidden="false" customHeight="true" outlineLevel="0" collapsed="false">
      <c r="B579" s="40"/>
      <c r="C579" s="41"/>
      <c r="D579" s="42"/>
      <c r="E579" s="40"/>
      <c r="F579" s="43"/>
      <c r="G579" s="44"/>
      <c r="H579" s="45"/>
      <c r="I579" s="45"/>
      <c r="J579" s="46"/>
      <c r="K579" s="47"/>
      <c r="L579" s="48"/>
      <c r="M579" s="48"/>
      <c r="N579" s="48"/>
      <c r="S579" s="49"/>
    </row>
    <row r="580" customFormat="false" ht="15.75" hidden="false" customHeight="true" outlineLevel="0" collapsed="false">
      <c r="B580" s="40"/>
      <c r="C580" s="41"/>
      <c r="D580" s="42"/>
      <c r="E580" s="40"/>
      <c r="F580" s="43"/>
      <c r="G580" s="44"/>
      <c r="H580" s="45"/>
      <c r="I580" s="45"/>
      <c r="J580" s="46"/>
      <c r="K580" s="47"/>
      <c r="L580" s="48"/>
      <c r="M580" s="48"/>
      <c r="N580" s="48"/>
      <c r="S580" s="49"/>
    </row>
    <row r="581" customFormat="false" ht="15.75" hidden="false" customHeight="true" outlineLevel="0" collapsed="false">
      <c r="B581" s="40"/>
      <c r="C581" s="41"/>
      <c r="D581" s="42"/>
      <c r="E581" s="40"/>
      <c r="F581" s="43"/>
      <c r="G581" s="44"/>
      <c r="H581" s="45"/>
      <c r="I581" s="45"/>
      <c r="J581" s="46"/>
      <c r="K581" s="47"/>
      <c r="L581" s="48"/>
      <c r="M581" s="48"/>
      <c r="N581" s="48"/>
      <c r="S581" s="49"/>
    </row>
    <row r="582" customFormat="false" ht="15.75" hidden="false" customHeight="true" outlineLevel="0" collapsed="false">
      <c r="B582" s="40"/>
      <c r="C582" s="41"/>
      <c r="D582" s="42"/>
      <c r="E582" s="40"/>
      <c r="F582" s="43"/>
      <c r="G582" s="44"/>
      <c r="H582" s="45"/>
      <c r="I582" s="45"/>
      <c r="J582" s="46"/>
      <c r="K582" s="47"/>
      <c r="L582" s="48"/>
      <c r="M582" s="48"/>
      <c r="N582" s="48"/>
      <c r="S582" s="49"/>
    </row>
    <row r="583" customFormat="false" ht="15.75" hidden="false" customHeight="true" outlineLevel="0" collapsed="false">
      <c r="B583" s="40"/>
      <c r="C583" s="41"/>
      <c r="D583" s="42"/>
      <c r="E583" s="40"/>
      <c r="F583" s="43"/>
      <c r="G583" s="44"/>
      <c r="H583" s="45"/>
      <c r="I583" s="45"/>
      <c r="J583" s="46"/>
      <c r="K583" s="47"/>
      <c r="L583" s="48"/>
      <c r="M583" s="48"/>
      <c r="N583" s="48"/>
      <c r="S583" s="49"/>
    </row>
    <row r="584" customFormat="false" ht="15.75" hidden="false" customHeight="true" outlineLevel="0" collapsed="false">
      <c r="B584" s="40"/>
      <c r="C584" s="41"/>
      <c r="D584" s="42"/>
      <c r="E584" s="40"/>
      <c r="F584" s="43"/>
      <c r="G584" s="44"/>
      <c r="H584" s="45"/>
      <c r="I584" s="45"/>
      <c r="J584" s="46"/>
      <c r="K584" s="47"/>
      <c r="L584" s="48"/>
      <c r="M584" s="48"/>
      <c r="N584" s="48"/>
      <c r="S584" s="49"/>
    </row>
    <row r="585" customFormat="false" ht="15.75" hidden="false" customHeight="true" outlineLevel="0" collapsed="false">
      <c r="B585" s="40"/>
      <c r="C585" s="41"/>
      <c r="D585" s="42"/>
      <c r="E585" s="40"/>
      <c r="F585" s="43"/>
      <c r="G585" s="44"/>
      <c r="H585" s="45"/>
      <c r="I585" s="45"/>
      <c r="J585" s="46"/>
      <c r="K585" s="47"/>
      <c r="L585" s="48"/>
      <c r="M585" s="48"/>
      <c r="N585" s="48"/>
      <c r="S585" s="49"/>
    </row>
    <row r="586" customFormat="false" ht="15.75" hidden="false" customHeight="true" outlineLevel="0" collapsed="false">
      <c r="B586" s="40"/>
      <c r="C586" s="41"/>
      <c r="D586" s="42"/>
      <c r="E586" s="40"/>
      <c r="F586" s="43"/>
      <c r="G586" s="44"/>
      <c r="H586" s="45"/>
      <c r="I586" s="45"/>
      <c r="J586" s="46"/>
      <c r="K586" s="47"/>
      <c r="L586" s="48"/>
      <c r="M586" s="48"/>
      <c r="N586" s="48"/>
      <c r="S586" s="49"/>
    </row>
    <row r="587" customFormat="false" ht="15.75" hidden="false" customHeight="true" outlineLevel="0" collapsed="false">
      <c r="B587" s="40"/>
      <c r="C587" s="41"/>
      <c r="D587" s="42"/>
      <c r="E587" s="40"/>
      <c r="F587" s="43"/>
      <c r="G587" s="44"/>
      <c r="H587" s="45"/>
      <c r="I587" s="45"/>
      <c r="J587" s="46"/>
      <c r="K587" s="47"/>
      <c r="L587" s="48"/>
      <c r="M587" s="48"/>
      <c r="N587" s="48"/>
      <c r="S587" s="49"/>
    </row>
    <row r="588" customFormat="false" ht="15.75" hidden="false" customHeight="true" outlineLevel="0" collapsed="false">
      <c r="B588" s="40"/>
      <c r="C588" s="41"/>
      <c r="D588" s="42"/>
      <c r="E588" s="40"/>
      <c r="F588" s="43"/>
      <c r="G588" s="44"/>
      <c r="H588" s="45"/>
      <c r="I588" s="45"/>
      <c r="J588" s="46"/>
      <c r="K588" s="47"/>
      <c r="L588" s="48"/>
      <c r="M588" s="48"/>
      <c r="N588" s="48"/>
      <c r="S588" s="49"/>
    </row>
    <row r="589" customFormat="false" ht="15.75" hidden="false" customHeight="true" outlineLevel="0" collapsed="false">
      <c r="B589" s="40"/>
      <c r="C589" s="41"/>
      <c r="D589" s="42"/>
      <c r="E589" s="40"/>
      <c r="F589" s="43"/>
      <c r="G589" s="44"/>
      <c r="H589" s="45"/>
      <c r="I589" s="45"/>
      <c r="J589" s="46"/>
      <c r="K589" s="47"/>
      <c r="L589" s="48"/>
      <c r="M589" s="48"/>
      <c r="N589" s="48"/>
      <c r="S589" s="49"/>
    </row>
    <row r="590" customFormat="false" ht="15.75" hidden="false" customHeight="true" outlineLevel="0" collapsed="false">
      <c r="B590" s="40"/>
      <c r="C590" s="41"/>
      <c r="D590" s="42"/>
      <c r="E590" s="40"/>
      <c r="F590" s="43"/>
      <c r="G590" s="44"/>
      <c r="H590" s="45"/>
      <c r="I590" s="45"/>
      <c r="J590" s="46"/>
      <c r="K590" s="47"/>
      <c r="L590" s="48"/>
      <c r="M590" s="48"/>
      <c r="N590" s="48"/>
      <c r="S590" s="49"/>
    </row>
    <row r="591" customFormat="false" ht="15.75" hidden="false" customHeight="true" outlineLevel="0" collapsed="false">
      <c r="B591" s="40"/>
      <c r="C591" s="41"/>
      <c r="D591" s="42"/>
      <c r="E591" s="40"/>
      <c r="F591" s="43"/>
      <c r="G591" s="44"/>
      <c r="H591" s="45"/>
      <c r="I591" s="45"/>
      <c r="J591" s="46"/>
      <c r="K591" s="47"/>
      <c r="L591" s="48"/>
      <c r="M591" s="48"/>
      <c r="N591" s="48"/>
      <c r="S591" s="49"/>
    </row>
    <row r="592" customFormat="false" ht="15.75" hidden="false" customHeight="true" outlineLevel="0" collapsed="false">
      <c r="B592" s="40"/>
      <c r="C592" s="41"/>
      <c r="D592" s="42"/>
      <c r="E592" s="40"/>
      <c r="F592" s="43"/>
      <c r="G592" s="44"/>
      <c r="H592" s="45"/>
      <c r="I592" s="45"/>
      <c r="J592" s="46"/>
      <c r="K592" s="47"/>
      <c r="L592" s="48"/>
      <c r="M592" s="48"/>
      <c r="N592" s="48"/>
      <c r="S592" s="49"/>
    </row>
    <row r="593" customFormat="false" ht="15.75" hidden="false" customHeight="true" outlineLevel="0" collapsed="false">
      <c r="B593" s="40"/>
      <c r="C593" s="41"/>
      <c r="D593" s="42"/>
      <c r="E593" s="40"/>
      <c r="F593" s="43"/>
      <c r="G593" s="44"/>
      <c r="H593" s="45"/>
      <c r="I593" s="45"/>
      <c r="J593" s="46"/>
      <c r="K593" s="47"/>
      <c r="L593" s="48"/>
      <c r="M593" s="48"/>
      <c r="N593" s="48"/>
      <c r="S593" s="49"/>
    </row>
    <row r="594" customFormat="false" ht="15.75" hidden="false" customHeight="true" outlineLevel="0" collapsed="false">
      <c r="B594" s="40"/>
      <c r="C594" s="41"/>
      <c r="D594" s="42"/>
      <c r="E594" s="40"/>
      <c r="F594" s="43"/>
      <c r="G594" s="44"/>
      <c r="H594" s="45"/>
      <c r="I594" s="45"/>
      <c r="J594" s="46"/>
      <c r="K594" s="47"/>
      <c r="L594" s="48"/>
      <c r="M594" s="48"/>
      <c r="N594" s="48"/>
      <c r="S594" s="49"/>
    </row>
    <row r="595" customFormat="false" ht="15.75" hidden="false" customHeight="true" outlineLevel="0" collapsed="false">
      <c r="B595" s="40"/>
      <c r="C595" s="41"/>
      <c r="D595" s="42"/>
      <c r="E595" s="40"/>
      <c r="F595" s="43"/>
      <c r="G595" s="44"/>
      <c r="H595" s="45"/>
      <c r="I595" s="45"/>
      <c r="J595" s="46"/>
      <c r="K595" s="47"/>
      <c r="L595" s="48"/>
      <c r="M595" s="48"/>
      <c r="N595" s="48"/>
      <c r="S595" s="49"/>
    </row>
    <row r="596" customFormat="false" ht="15.75" hidden="false" customHeight="true" outlineLevel="0" collapsed="false">
      <c r="B596" s="40"/>
      <c r="C596" s="41"/>
      <c r="D596" s="42"/>
      <c r="E596" s="40"/>
      <c r="F596" s="43"/>
      <c r="G596" s="44"/>
      <c r="H596" s="45"/>
      <c r="I596" s="45"/>
      <c r="J596" s="46"/>
      <c r="K596" s="47"/>
      <c r="L596" s="48"/>
      <c r="M596" s="48"/>
      <c r="N596" s="48"/>
      <c r="S596" s="49"/>
    </row>
    <row r="597" customFormat="false" ht="15.75" hidden="false" customHeight="true" outlineLevel="0" collapsed="false">
      <c r="B597" s="40"/>
      <c r="C597" s="41"/>
      <c r="D597" s="42"/>
      <c r="E597" s="40"/>
      <c r="F597" s="43"/>
      <c r="G597" s="44"/>
      <c r="H597" s="45"/>
      <c r="I597" s="45"/>
      <c r="J597" s="46"/>
      <c r="K597" s="47"/>
      <c r="L597" s="48"/>
      <c r="M597" s="48"/>
      <c r="N597" s="48"/>
      <c r="S597" s="49"/>
    </row>
    <row r="598" customFormat="false" ht="15.75" hidden="false" customHeight="true" outlineLevel="0" collapsed="false">
      <c r="B598" s="40"/>
      <c r="C598" s="41"/>
      <c r="D598" s="42"/>
      <c r="E598" s="40"/>
      <c r="F598" s="43"/>
      <c r="G598" s="44"/>
      <c r="H598" s="45"/>
      <c r="I598" s="45"/>
      <c r="J598" s="46"/>
      <c r="K598" s="47"/>
      <c r="L598" s="48"/>
      <c r="M598" s="48"/>
      <c r="N598" s="48"/>
      <c r="S598" s="49"/>
    </row>
    <row r="599" customFormat="false" ht="15.75" hidden="false" customHeight="true" outlineLevel="0" collapsed="false">
      <c r="B599" s="40"/>
      <c r="C599" s="41"/>
      <c r="D599" s="42"/>
      <c r="E599" s="40"/>
      <c r="F599" s="43"/>
      <c r="G599" s="44"/>
      <c r="H599" s="45"/>
      <c r="I599" s="45"/>
      <c r="J599" s="46"/>
      <c r="K599" s="47"/>
      <c r="L599" s="48"/>
      <c r="M599" s="48"/>
      <c r="N599" s="48"/>
      <c r="S599" s="49"/>
    </row>
    <row r="600" customFormat="false" ht="15.75" hidden="false" customHeight="true" outlineLevel="0" collapsed="false">
      <c r="B600" s="40"/>
      <c r="C600" s="41"/>
      <c r="D600" s="42"/>
      <c r="E600" s="40"/>
      <c r="F600" s="43"/>
      <c r="G600" s="44"/>
      <c r="H600" s="45"/>
      <c r="I600" s="45"/>
      <c r="J600" s="46"/>
      <c r="K600" s="47"/>
      <c r="L600" s="48"/>
      <c r="M600" s="48"/>
      <c r="N600" s="48"/>
      <c r="S600" s="49"/>
    </row>
    <row r="601" customFormat="false" ht="15.75" hidden="false" customHeight="true" outlineLevel="0" collapsed="false">
      <c r="B601" s="40"/>
      <c r="C601" s="41"/>
      <c r="D601" s="42"/>
      <c r="E601" s="40"/>
      <c r="F601" s="43"/>
      <c r="G601" s="44"/>
      <c r="H601" s="45"/>
      <c r="I601" s="45"/>
      <c r="J601" s="46"/>
      <c r="K601" s="47"/>
      <c r="L601" s="48"/>
      <c r="M601" s="48"/>
      <c r="N601" s="48"/>
      <c r="S601" s="49"/>
    </row>
    <row r="602" customFormat="false" ht="15.75" hidden="false" customHeight="true" outlineLevel="0" collapsed="false">
      <c r="B602" s="40"/>
      <c r="C602" s="41"/>
      <c r="D602" s="42"/>
      <c r="E602" s="40"/>
      <c r="F602" s="43"/>
      <c r="G602" s="44"/>
      <c r="H602" s="45"/>
      <c r="I602" s="45"/>
      <c r="J602" s="46"/>
      <c r="K602" s="47"/>
      <c r="L602" s="48"/>
      <c r="M602" s="48"/>
      <c r="N602" s="48"/>
      <c r="S602" s="49"/>
    </row>
    <row r="603" customFormat="false" ht="15.75" hidden="false" customHeight="true" outlineLevel="0" collapsed="false">
      <c r="B603" s="40"/>
      <c r="C603" s="41"/>
      <c r="D603" s="42"/>
      <c r="E603" s="40"/>
      <c r="F603" s="43"/>
      <c r="G603" s="44"/>
      <c r="H603" s="45"/>
      <c r="I603" s="45"/>
      <c r="J603" s="46"/>
      <c r="K603" s="47"/>
      <c r="L603" s="48"/>
      <c r="M603" s="48"/>
      <c r="N603" s="48"/>
      <c r="S603" s="49"/>
    </row>
    <row r="604" customFormat="false" ht="15.75" hidden="false" customHeight="true" outlineLevel="0" collapsed="false">
      <c r="B604" s="40"/>
      <c r="C604" s="41"/>
      <c r="D604" s="42"/>
      <c r="E604" s="40"/>
      <c r="F604" s="43"/>
      <c r="G604" s="44"/>
      <c r="H604" s="45"/>
      <c r="I604" s="45"/>
      <c r="J604" s="46"/>
      <c r="K604" s="47"/>
      <c r="L604" s="48"/>
      <c r="M604" s="48"/>
      <c r="N604" s="48"/>
      <c r="S604" s="49"/>
    </row>
    <row r="605" customFormat="false" ht="15.75" hidden="false" customHeight="true" outlineLevel="0" collapsed="false">
      <c r="B605" s="40"/>
      <c r="C605" s="41"/>
      <c r="D605" s="42"/>
      <c r="E605" s="40"/>
      <c r="F605" s="43"/>
      <c r="G605" s="44"/>
      <c r="H605" s="45"/>
      <c r="I605" s="45"/>
      <c r="J605" s="46"/>
      <c r="K605" s="47"/>
      <c r="L605" s="48"/>
      <c r="M605" s="48"/>
      <c r="N605" s="48"/>
      <c r="S605" s="49"/>
    </row>
    <row r="606" customFormat="false" ht="15.75" hidden="false" customHeight="true" outlineLevel="0" collapsed="false">
      <c r="B606" s="40"/>
      <c r="C606" s="41"/>
      <c r="D606" s="42"/>
      <c r="E606" s="40"/>
      <c r="F606" s="43"/>
      <c r="G606" s="44"/>
      <c r="H606" s="45"/>
      <c r="I606" s="45"/>
      <c r="J606" s="46"/>
      <c r="K606" s="47"/>
      <c r="L606" s="48"/>
      <c r="M606" s="48"/>
      <c r="N606" s="48"/>
      <c r="S606" s="49"/>
    </row>
    <row r="607" customFormat="false" ht="15.75" hidden="false" customHeight="true" outlineLevel="0" collapsed="false">
      <c r="B607" s="40"/>
      <c r="C607" s="41"/>
      <c r="D607" s="42"/>
      <c r="E607" s="40"/>
      <c r="F607" s="43"/>
      <c r="G607" s="44"/>
      <c r="H607" s="45"/>
      <c r="I607" s="45"/>
      <c r="J607" s="46"/>
      <c r="K607" s="47"/>
      <c r="L607" s="48"/>
      <c r="M607" s="48"/>
      <c r="N607" s="48"/>
      <c r="S607" s="49"/>
    </row>
    <row r="608" customFormat="false" ht="15.75" hidden="false" customHeight="true" outlineLevel="0" collapsed="false">
      <c r="B608" s="40"/>
      <c r="C608" s="41"/>
      <c r="D608" s="42"/>
      <c r="E608" s="40"/>
      <c r="F608" s="43"/>
      <c r="G608" s="44"/>
      <c r="H608" s="45"/>
      <c r="I608" s="45"/>
      <c r="J608" s="46"/>
      <c r="K608" s="47"/>
      <c r="L608" s="48"/>
      <c r="M608" s="48"/>
      <c r="N608" s="48"/>
      <c r="S608" s="49"/>
    </row>
    <row r="609" customFormat="false" ht="15.75" hidden="false" customHeight="true" outlineLevel="0" collapsed="false">
      <c r="B609" s="40"/>
      <c r="C609" s="41"/>
      <c r="D609" s="42"/>
      <c r="E609" s="40"/>
      <c r="F609" s="43"/>
      <c r="G609" s="44"/>
      <c r="H609" s="45"/>
      <c r="I609" s="45"/>
      <c r="J609" s="46"/>
      <c r="K609" s="47"/>
      <c r="L609" s="48"/>
      <c r="M609" s="48"/>
      <c r="N609" s="48"/>
      <c r="S609" s="49"/>
    </row>
    <row r="610" customFormat="false" ht="15.75" hidden="false" customHeight="true" outlineLevel="0" collapsed="false">
      <c r="B610" s="40"/>
      <c r="C610" s="41"/>
      <c r="D610" s="42"/>
      <c r="E610" s="40"/>
      <c r="F610" s="43"/>
      <c r="G610" s="44"/>
      <c r="H610" s="45"/>
      <c r="I610" s="45"/>
      <c r="J610" s="46"/>
      <c r="K610" s="47"/>
      <c r="L610" s="48"/>
      <c r="M610" s="48"/>
      <c r="N610" s="48"/>
      <c r="S610" s="49"/>
    </row>
    <row r="611" customFormat="false" ht="15.75" hidden="false" customHeight="true" outlineLevel="0" collapsed="false">
      <c r="B611" s="40"/>
      <c r="C611" s="41"/>
      <c r="D611" s="42"/>
      <c r="E611" s="40"/>
      <c r="F611" s="43"/>
      <c r="G611" s="44"/>
      <c r="H611" s="45"/>
      <c r="I611" s="45"/>
      <c r="J611" s="46"/>
      <c r="K611" s="47"/>
      <c r="L611" s="48"/>
      <c r="M611" s="48"/>
      <c r="N611" s="48"/>
      <c r="S611" s="49"/>
    </row>
    <row r="612" customFormat="false" ht="15.75" hidden="false" customHeight="true" outlineLevel="0" collapsed="false">
      <c r="B612" s="40"/>
      <c r="C612" s="41"/>
      <c r="D612" s="42"/>
      <c r="E612" s="40"/>
      <c r="F612" s="43"/>
      <c r="G612" s="44"/>
      <c r="H612" s="45"/>
      <c r="I612" s="45"/>
      <c r="J612" s="46"/>
      <c r="K612" s="47"/>
      <c r="L612" s="48"/>
      <c r="M612" s="48"/>
      <c r="N612" s="48"/>
      <c r="S612" s="49"/>
    </row>
    <row r="613" customFormat="false" ht="15.75" hidden="false" customHeight="true" outlineLevel="0" collapsed="false">
      <c r="B613" s="40"/>
      <c r="C613" s="41"/>
      <c r="D613" s="42"/>
      <c r="E613" s="40"/>
      <c r="F613" s="43"/>
      <c r="G613" s="44"/>
      <c r="H613" s="45"/>
      <c r="I613" s="45"/>
      <c r="J613" s="46"/>
      <c r="K613" s="47"/>
      <c r="L613" s="48"/>
      <c r="M613" s="48"/>
      <c r="N613" s="48"/>
      <c r="S613" s="49"/>
    </row>
    <row r="614" customFormat="false" ht="15.75" hidden="false" customHeight="true" outlineLevel="0" collapsed="false">
      <c r="B614" s="40"/>
      <c r="C614" s="41"/>
      <c r="D614" s="42"/>
      <c r="E614" s="40"/>
      <c r="F614" s="43"/>
      <c r="G614" s="44"/>
      <c r="H614" s="45"/>
      <c r="I614" s="45"/>
      <c r="J614" s="46"/>
      <c r="K614" s="47"/>
      <c r="L614" s="48"/>
      <c r="M614" s="48"/>
      <c r="N614" s="48"/>
      <c r="S614" s="49"/>
    </row>
    <row r="615" customFormat="false" ht="15.75" hidden="false" customHeight="true" outlineLevel="0" collapsed="false">
      <c r="B615" s="40"/>
      <c r="C615" s="41"/>
      <c r="D615" s="42"/>
      <c r="E615" s="40"/>
      <c r="F615" s="43"/>
      <c r="G615" s="44"/>
      <c r="H615" s="45"/>
      <c r="I615" s="45"/>
      <c r="J615" s="46"/>
      <c r="K615" s="47"/>
      <c r="L615" s="48"/>
      <c r="M615" s="48"/>
      <c r="N615" s="48"/>
      <c r="S615" s="49"/>
    </row>
    <row r="616" customFormat="false" ht="15.75" hidden="false" customHeight="true" outlineLevel="0" collapsed="false">
      <c r="B616" s="40"/>
      <c r="C616" s="41"/>
      <c r="D616" s="42"/>
      <c r="E616" s="40"/>
      <c r="F616" s="43"/>
      <c r="G616" s="44"/>
      <c r="H616" s="45"/>
      <c r="I616" s="45"/>
      <c r="J616" s="46"/>
      <c r="K616" s="47"/>
      <c r="L616" s="48"/>
      <c r="M616" s="48"/>
      <c r="N616" s="48"/>
      <c r="S616" s="49"/>
    </row>
    <row r="617" customFormat="false" ht="15.75" hidden="false" customHeight="true" outlineLevel="0" collapsed="false">
      <c r="B617" s="40"/>
      <c r="C617" s="41"/>
      <c r="D617" s="42"/>
      <c r="E617" s="40"/>
      <c r="F617" s="43"/>
      <c r="G617" s="44"/>
      <c r="H617" s="45"/>
      <c r="I617" s="45"/>
      <c r="J617" s="46"/>
      <c r="K617" s="47"/>
      <c r="L617" s="48"/>
      <c r="M617" s="48"/>
      <c r="N617" s="48"/>
      <c r="S617" s="49"/>
    </row>
    <row r="618" customFormat="false" ht="15.75" hidden="false" customHeight="true" outlineLevel="0" collapsed="false">
      <c r="B618" s="40"/>
      <c r="C618" s="41"/>
      <c r="D618" s="42"/>
      <c r="E618" s="40"/>
      <c r="F618" s="43"/>
      <c r="G618" s="44"/>
      <c r="H618" s="45"/>
      <c r="I618" s="45"/>
      <c r="J618" s="46"/>
      <c r="K618" s="47"/>
      <c r="L618" s="48"/>
      <c r="M618" s="48"/>
      <c r="N618" s="48"/>
      <c r="S618" s="49"/>
    </row>
    <row r="619" customFormat="false" ht="15.75" hidden="false" customHeight="true" outlineLevel="0" collapsed="false">
      <c r="B619" s="40"/>
      <c r="C619" s="41"/>
      <c r="D619" s="42"/>
      <c r="E619" s="40"/>
      <c r="F619" s="43"/>
      <c r="G619" s="44"/>
      <c r="H619" s="45"/>
      <c r="I619" s="45"/>
      <c r="J619" s="46"/>
      <c r="K619" s="47"/>
      <c r="L619" s="48"/>
      <c r="M619" s="48"/>
      <c r="N619" s="48"/>
      <c r="S619" s="49"/>
    </row>
    <row r="620" customFormat="false" ht="15.75" hidden="false" customHeight="true" outlineLevel="0" collapsed="false">
      <c r="B620" s="40"/>
      <c r="C620" s="41"/>
      <c r="D620" s="42"/>
      <c r="E620" s="40"/>
      <c r="F620" s="43"/>
      <c r="G620" s="44"/>
      <c r="H620" s="45"/>
      <c r="I620" s="45"/>
      <c r="J620" s="46"/>
      <c r="K620" s="47"/>
      <c r="L620" s="48"/>
      <c r="M620" s="48"/>
      <c r="N620" s="48"/>
      <c r="S620" s="49"/>
    </row>
    <row r="621" customFormat="false" ht="15.75" hidden="false" customHeight="true" outlineLevel="0" collapsed="false">
      <c r="B621" s="40"/>
      <c r="C621" s="41"/>
      <c r="D621" s="42"/>
      <c r="E621" s="40"/>
      <c r="F621" s="43"/>
      <c r="G621" s="44"/>
      <c r="H621" s="45"/>
      <c r="I621" s="45"/>
      <c r="J621" s="46"/>
      <c r="K621" s="47"/>
      <c r="L621" s="48"/>
      <c r="M621" s="48"/>
      <c r="N621" s="48"/>
      <c r="S621" s="49"/>
    </row>
    <row r="622" customFormat="false" ht="15.75" hidden="false" customHeight="true" outlineLevel="0" collapsed="false">
      <c r="B622" s="40"/>
      <c r="C622" s="41"/>
      <c r="D622" s="42"/>
      <c r="E622" s="40"/>
      <c r="F622" s="43"/>
      <c r="G622" s="44"/>
      <c r="H622" s="45"/>
      <c r="I622" s="45"/>
      <c r="J622" s="46"/>
      <c r="K622" s="47"/>
      <c r="L622" s="48"/>
      <c r="M622" s="48"/>
      <c r="N622" s="48"/>
      <c r="S622" s="49"/>
    </row>
    <row r="623" customFormat="false" ht="15.75" hidden="false" customHeight="true" outlineLevel="0" collapsed="false">
      <c r="B623" s="40"/>
      <c r="C623" s="41"/>
      <c r="D623" s="42"/>
      <c r="E623" s="40"/>
      <c r="F623" s="43"/>
      <c r="G623" s="44"/>
      <c r="H623" s="45"/>
      <c r="I623" s="45"/>
      <c r="J623" s="46"/>
      <c r="K623" s="47"/>
      <c r="L623" s="48"/>
      <c r="M623" s="48"/>
      <c r="N623" s="48"/>
      <c r="S623" s="49"/>
    </row>
    <row r="624" customFormat="false" ht="15.75" hidden="false" customHeight="true" outlineLevel="0" collapsed="false">
      <c r="B624" s="40"/>
      <c r="C624" s="41"/>
      <c r="D624" s="42"/>
      <c r="E624" s="40"/>
      <c r="F624" s="43"/>
      <c r="G624" s="44"/>
      <c r="H624" s="45"/>
      <c r="I624" s="45"/>
      <c r="J624" s="46"/>
      <c r="K624" s="47"/>
      <c r="L624" s="48"/>
      <c r="M624" s="48"/>
      <c r="N624" s="48"/>
      <c r="S624" s="49"/>
    </row>
    <row r="625" customFormat="false" ht="15.75" hidden="false" customHeight="true" outlineLevel="0" collapsed="false">
      <c r="B625" s="40"/>
      <c r="C625" s="41"/>
      <c r="D625" s="42"/>
      <c r="E625" s="40"/>
      <c r="F625" s="43"/>
      <c r="G625" s="44"/>
      <c r="H625" s="45"/>
      <c r="I625" s="45"/>
      <c r="J625" s="46"/>
      <c r="K625" s="47"/>
      <c r="L625" s="48"/>
      <c r="M625" s="48"/>
      <c r="N625" s="48"/>
      <c r="S625" s="49"/>
    </row>
    <row r="626" customFormat="false" ht="15.75" hidden="false" customHeight="true" outlineLevel="0" collapsed="false">
      <c r="B626" s="40"/>
      <c r="C626" s="41"/>
      <c r="D626" s="42"/>
      <c r="E626" s="40"/>
      <c r="F626" s="43"/>
      <c r="G626" s="44"/>
      <c r="H626" s="45"/>
      <c r="I626" s="45"/>
      <c r="J626" s="46"/>
      <c r="K626" s="47"/>
      <c r="L626" s="48"/>
      <c r="M626" s="48"/>
      <c r="N626" s="48"/>
      <c r="S626" s="49"/>
    </row>
    <row r="627" customFormat="false" ht="15.75" hidden="false" customHeight="true" outlineLevel="0" collapsed="false">
      <c r="B627" s="40"/>
      <c r="C627" s="41"/>
      <c r="D627" s="42"/>
      <c r="E627" s="40"/>
      <c r="F627" s="43"/>
      <c r="G627" s="44"/>
      <c r="H627" s="45"/>
      <c r="I627" s="45"/>
      <c r="J627" s="46"/>
      <c r="K627" s="47"/>
      <c r="L627" s="48"/>
      <c r="M627" s="48"/>
      <c r="N627" s="48"/>
      <c r="S627" s="49"/>
    </row>
    <row r="628" customFormat="false" ht="15.75" hidden="false" customHeight="true" outlineLevel="0" collapsed="false">
      <c r="B628" s="40"/>
      <c r="C628" s="41"/>
      <c r="D628" s="42"/>
      <c r="E628" s="40"/>
      <c r="F628" s="43"/>
      <c r="G628" s="44"/>
      <c r="H628" s="45"/>
      <c r="I628" s="45"/>
      <c r="J628" s="46"/>
      <c r="K628" s="47"/>
      <c r="L628" s="48"/>
      <c r="M628" s="48"/>
      <c r="N628" s="48"/>
      <c r="S628" s="49"/>
    </row>
    <row r="629" customFormat="false" ht="15.75" hidden="false" customHeight="true" outlineLevel="0" collapsed="false">
      <c r="B629" s="40"/>
      <c r="C629" s="41"/>
      <c r="D629" s="42"/>
      <c r="E629" s="40"/>
      <c r="F629" s="43"/>
      <c r="G629" s="44"/>
      <c r="H629" s="45"/>
      <c r="I629" s="45"/>
      <c r="J629" s="46"/>
      <c r="K629" s="47"/>
      <c r="L629" s="48"/>
      <c r="M629" s="48"/>
      <c r="N629" s="48"/>
      <c r="S629" s="49"/>
    </row>
    <row r="630" customFormat="false" ht="15.75" hidden="false" customHeight="true" outlineLevel="0" collapsed="false">
      <c r="B630" s="40"/>
      <c r="C630" s="41"/>
      <c r="D630" s="42"/>
      <c r="E630" s="40"/>
      <c r="F630" s="43"/>
      <c r="G630" s="44"/>
      <c r="H630" s="45"/>
      <c r="I630" s="45"/>
      <c r="J630" s="46"/>
      <c r="K630" s="47"/>
      <c r="L630" s="48"/>
      <c r="M630" s="48"/>
      <c r="N630" s="48"/>
      <c r="S630" s="49"/>
    </row>
    <row r="631" customFormat="false" ht="15.75" hidden="false" customHeight="true" outlineLevel="0" collapsed="false">
      <c r="B631" s="40"/>
      <c r="C631" s="41"/>
      <c r="D631" s="42"/>
      <c r="E631" s="40"/>
      <c r="F631" s="43"/>
      <c r="G631" s="44"/>
      <c r="H631" s="45"/>
      <c r="I631" s="45"/>
      <c r="J631" s="46"/>
      <c r="K631" s="47"/>
      <c r="L631" s="48"/>
      <c r="M631" s="48"/>
      <c r="N631" s="48"/>
      <c r="S631" s="49"/>
    </row>
    <row r="632" customFormat="false" ht="15.75" hidden="false" customHeight="true" outlineLevel="0" collapsed="false">
      <c r="B632" s="40"/>
      <c r="C632" s="41"/>
      <c r="D632" s="42"/>
      <c r="E632" s="40"/>
      <c r="F632" s="43"/>
      <c r="G632" s="44"/>
      <c r="H632" s="45"/>
      <c r="I632" s="45"/>
      <c r="J632" s="46"/>
      <c r="K632" s="47"/>
      <c r="L632" s="48"/>
      <c r="M632" s="48"/>
      <c r="N632" s="48"/>
      <c r="S632" s="49"/>
    </row>
    <row r="633" customFormat="false" ht="15.75" hidden="false" customHeight="true" outlineLevel="0" collapsed="false">
      <c r="B633" s="40"/>
      <c r="C633" s="41"/>
      <c r="D633" s="42"/>
      <c r="E633" s="40"/>
      <c r="F633" s="43"/>
      <c r="G633" s="44"/>
      <c r="H633" s="45"/>
      <c r="I633" s="45"/>
      <c r="J633" s="46"/>
      <c r="K633" s="47"/>
      <c r="L633" s="48"/>
      <c r="M633" s="48"/>
      <c r="N633" s="48"/>
      <c r="S633" s="49"/>
    </row>
    <row r="634" customFormat="false" ht="15.75" hidden="false" customHeight="true" outlineLevel="0" collapsed="false">
      <c r="B634" s="40"/>
      <c r="C634" s="41"/>
      <c r="D634" s="42"/>
      <c r="E634" s="40"/>
      <c r="F634" s="43"/>
      <c r="G634" s="44"/>
      <c r="H634" s="45"/>
      <c r="I634" s="45"/>
      <c r="J634" s="46"/>
      <c r="K634" s="47"/>
      <c r="L634" s="48"/>
      <c r="M634" s="48"/>
      <c r="N634" s="48"/>
      <c r="S634" s="49"/>
    </row>
    <row r="635" customFormat="false" ht="15.75" hidden="false" customHeight="true" outlineLevel="0" collapsed="false">
      <c r="B635" s="40"/>
      <c r="C635" s="41"/>
      <c r="D635" s="42"/>
      <c r="E635" s="40"/>
      <c r="F635" s="43"/>
      <c r="G635" s="44"/>
      <c r="H635" s="45"/>
      <c r="I635" s="45"/>
      <c r="J635" s="46"/>
      <c r="K635" s="47"/>
      <c r="L635" s="48"/>
      <c r="M635" s="48"/>
      <c r="N635" s="48"/>
      <c r="S635" s="49"/>
    </row>
    <row r="636" customFormat="false" ht="15.75" hidden="false" customHeight="true" outlineLevel="0" collapsed="false">
      <c r="B636" s="40"/>
      <c r="C636" s="41"/>
      <c r="D636" s="42"/>
      <c r="E636" s="40"/>
      <c r="F636" s="43"/>
      <c r="G636" s="44"/>
      <c r="H636" s="45"/>
      <c r="I636" s="45"/>
      <c r="J636" s="46"/>
      <c r="K636" s="47"/>
      <c r="L636" s="48"/>
      <c r="M636" s="48"/>
      <c r="N636" s="48"/>
      <c r="S636" s="49"/>
    </row>
    <row r="637" customFormat="false" ht="15.75" hidden="false" customHeight="true" outlineLevel="0" collapsed="false">
      <c r="B637" s="40"/>
      <c r="C637" s="41"/>
      <c r="D637" s="42"/>
      <c r="E637" s="40"/>
      <c r="F637" s="43"/>
      <c r="G637" s="44"/>
      <c r="H637" s="45"/>
      <c r="I637" s="45"/>
      <c r="J637" s="46"/>
      <c r="K637" s="47"/>
      <c r="L637" s="48"/>
      <c r="M637" s="48"/>
      <c r="N637" s="48"/>
      <c r="S637" s="49"/>
    </row>
    <row r="638" customFormat="false" ht="15.75" hidden="false" customHeight="true" outlineLevel="0" collapsed="false">
      <c r="B638" s="40"/>
      <c r="C638" s="41"/>
      <c r="D638" s="42"/>
      <c r="E638" s="40"/>
      <c r="F638" s="43"/>
      <c r="G638" s="44"/>
      <c r="H638" s="45"/>
      <c r="I638" s="45"/>
      <c r="J638" s="46"/>
      <c r="K638" s="47"/>
      <c r="L638" s="48"/>
      <c r="M638" s="48"/>
      <c r="N638" s="48"/>
      <c r="S638" s="49"/>
    </row>
    <row r="639" customFormat="false" ht="15.75" hidden="false" customHeight="true" outlineLevel="0" collapsed="false">
      <c r="B639" s="40"/>
      <c r="C639" s="41"/>
      <c r="D639" s="42"/>
      <c r="E639" s="40"/>
      <c r="F639" s="43"/>
      <c r="G639" s="44"/>
      <c r="H639" s="45"/>
      <c r="I639" s="45"/>
      <c r="J639" s="46"/>
      <c r="K639" s="47"/>
      <c r="L639" s="48"/>
      <c r="M639" s="48"/>
      <c r="N639" s="48"/>
      <c r="S639" s="49"/>
    </row>
    <row r="640" customFormat="false" ht="15.75" hidden="false" customHeight="true" outlineLevel="0" collapsed="false">
      <c r="B640" s="40"/>
      <c r="C640" s="41"/>
      <c r="D640" s="42"/>
      <c r="E640" s="40"/>
      <c r="F640" s="43"/>
      <c r="G640" s="44"/>
      <c r="H640" s="45"/>
      <c r="I640" s="45"/>
      <c r="J640" s="46"/>
      <c r="K640" s="47"/>
      <c r="L640" s="48"/>
      <c r="M640" s="48"/>
      <c r="N640" s="48"/>
      <c r="S640" s="49"/>
    </row>
    <row r="641" customFormat="false" ht="15.75" hidden="false" customHeight="true" outlineLevel="0" collapsed="false">
      <c r="B641" s="40"/>
      <c r="C641" s="41"/>
      <c r="D641" s="42"/>
      <c r="E641" s="40"/>
      <c r="F641" s="43"/>
      <c r="G641" s="44"/>
      <c r="H641" s="45"/>
      <c r="I641" s="45"/>
      <c r="J641" s="46"/>
      <c r="K641" s="47"/>
      <c r="L641" s="48"/>
      <c r="M641" s="48"/>
      <c r="N641" s="48"/>
      <c r="S641" s="49"/>
    </row>
    <row r="642" customFormat="false" ht="15.75" hidden="false" customHeight="true" outlineLevel="0" collapsed="false">
      <c r="B642" s="40"/>
      <c r="C642" s="41"/>
      <c r="D642" s="42"/>
      <c r="E642" s="40"/>
      <c r="F642" s="43"/>
      <c r="G642" s="44"/>
      <c r="H642" s="45"/>
      <c r="I642" s="45"/>
      <c r="J642" s="46"/>
      <c r="K642" s="47"/>
      <c r="L642" s="48"/>
      <c r="M642" s="48"/>
      <c r="N642" s="48"/>
      <c r="S642" s="49"/>
    </row>
    <row r="643" customFormat="false" ht="15.75" hidden="false" customHeight="true" outlineLevel="0" collapsed="false">
      <c r="B643" s="40"/>
      <c r="C643" s="41"/>
      <c r="D643" s="42"/>
      <c r="E643" s="40"/>
      <c r="F643" s="43"/>
      <c r="G643" s="44"/>
      <c r="H643" s="45"/>
      <c r="I643" s="45"/>
      <c r="J643" s="46"/>
      <c r="K643" s="47"/>
      <c r="L643" s="48"/>
      <c r="M643" s="48"/>
      <c r="N643" s="48"/>
      <c r="S643" s="49"/>
    </row>
    <row r="644" customFormat="false" ht="15.75" hidden="false" customHeight="true" outlineLevel="0" collapsed="false">
      <c r="B644" s="40"/>
      <c r="C644" s="41"/>
      <c r="D644" s="42"/>
      <c r="E644" s="40"/>
      <c r="F644" s="43"/>
      <c r="G644" s="44"/>
      <c r="H644" s="45"/>
      <c r="I644" s="45"/>
      <c r="J644" s="46"/>
      <c r="K644" s="47"/>
      <c r="L644" s="48"/>
      <c r="M644" s="48"/>
      <c r="N644" s="48"/>
      <c r="S644" s="49"/>
    </row>
    <row r="645" customFormat="false" ht="15.75" hidden="false" customHeight="true" outlineLevel="0" collapsed="false">
      <c r="B645" s="40"/>
      <c r="C645" s="41"/>
      <c r="D645" s="42"/>
      <c r="E645" s="40"/>
      <c r="F645" s="43"/>
      <c r="G645" s="44"/>
      <c r="H645" s="45"/>
      <c r="I645" s="45"/>
      <c r="J645" s="46"/>
      <c r="K645" s="47"/>
      <c r="L645" s="48"/>
      <c r="M645" s="48"/>
      <c r="N645" s="48"/>
      <c r="S645" s="49"/>
    </row>
    <row r="646" customFormat="false" ht="15.75" hidden="false" customHeight="true" outlineLevel="0" collapsed="false">
      <c r="B646" s="40"/>
      <c r="C646" s="41"/>
      <c r="D646" s="42"/>
      <c r="E646" s="40"/>
      <c r="F646" s="43"/>
      <c r="G646" s="44"/>
      <c r="H646" s="45"/>
      <c r="I646" s="45"/>
      <c r="J646" s="46"/>
      <c r="K646" s="47"/>
      <c r="L646" s="48"/>
      <c r="M646" s="48"/>
      <c r="N646" s="48"/>
      <c r="S646" s="49"/>
    </row>
    <row r="647" customFormat="false" ht="15.75" hidden="false" customHeight="true" outlineLevel="0" collapsed="false">
      <c r="B647" s="40"/>
      <c r="C647" s="41"/>
      <c r="D647" s="42"/>
      <c r="E647" s="40"/>
      <c r="F647" s="43"/>
      <c r="G647" s="44"/>
      <c r="H647" s="45"/>
      <c r="I647" s="45"/>
      <c r="J647" s="46"/>
      <c r="K647" s="47"/>
      <c r="L647" s="48"/>
      <c r="M647" s="48"/>
      <c r="N647" s="48"/>
      <c r="S647" s="49"/>
    </row>
    <row r="648" customFormat="false" ht="15.75" hidden="false" customHeight="true" outlineLevel="0" collapsed="false">
      <c r="B648" s="40"/>
      <c r="C648" s="41"/>
      <c r="D648" s="42"/>
      <c r="E648" s="40"/>
      <c r="F648" s="43"/>
      <c r="G648" s="44"/>
      <c r="H648" s="45"/>
      <c r="I648" s="45"/>
      <c r="J648" s="46"/>
      <c r="K648" s="47"/>
      <c r="L648" s="48"/>
      <c r="M648" s="48"/>
      <c r="N648" s="48"/>
      <c r="S648" s="49"/>
    </row>
    <row r="649" customFormat="false" ht="15.75" hidden="false" customHeight="true" outlineLevel="0" collapsed="false">
      <c r="B649" s="40"/>
      <c r="C649" s="41"/>
      <c r="D649" s="42"/>
      <c r="E649" s="40"/>
      <c r="F649" s="43"/>
      <c r="G649" s="44"/>
      <c r="H649" s="45"/>
      <c r="I649" s="45"/>
      <c r="J649" s="46"/>
      <c r="K649" s="47"/>
      <c r="L649" s="48"/>
      <c r="M649" s="48"/>
      <c r="N649" s="48"/>
      <c r="S649" s="49"/>
    </row>
    <row r="650" customFormat="false" ht="15.75" hidden="false" customHeight="true" outlineLevel="0" collapsed="false">
      <c r="B650" s="40"/>
      <c r="C650" s="41"/>
      <c r="D650" s="42"/>
      <c r="E650" s="40"/>
      <c r="F650" s="43"/>
      <c r="G650" s="44"/>
      <c r="H650" s="45"/>
      <c r="I650" s="45"/>
      <c r="J650" s="46"/>
      <c r="K650" s="47"/>
      <c r="L650" s="48"/>
      <c r="M650" s="48"/>
      <c r="N650" s="48"/>
      <c r="S650" s="49"/>
    </row>
    <row r="651" customFormat="false" ht="15.75" hidden="false" customHeight="true" outlineLevel="0" collapsed="false">
      <c r="B651" s="40"/>
      <c r="C651" s="41"/>
      <c r="D651" s="42"/>
      <c r="E651" s="40"/>
      <c r="F651" s="43"/>
      <c r="G651" s="44"/>
      <c r="H651" s="45"/>
      <c r="I651" s="45"/>
      <c r="J651" s="46"/>
      <c r="K651" s="47"/>
      <c r="L651" s="48"/>
      <c r="M651" s="48"/>
      <c r="N651" s="48"/>
      <c r="S651" s="49"/>
    </row>
    <row r="652" customFormat="false" ht="15.75" hidden="false" customHeight="true" outlineLevel="0" collapsed="false">
      <c r="B652" s="40"/>
      <c r="C652" s="41"/>
      <c r="D652" s="42"/>
      <c r="E652" s="40"/>
      <c r="F652" s="43"/>
      <c r="G652" s="44"/>
      <c r="H652" s="45"/>
      <c r="I652" s="45"/>
      <c r="J652" s="46"/>
      <c r="K652" s="47"/>
      <c r="L652" s="48"/>
      <c r="M652" s="48"/>
      <c r="N652" s="48"/>
      <c r="S652" s="49"/>
    </row>
    <row r="653" customFormat="false" ht="15.75" hidden="false" customHeight="true" outlineLevel="0" collapsed="false">
      <c r="B653" s="40"/>
      <c r="C653" s="41"/>
      <c r="D653" s="42"/>
      <c r="E653" s="40"/>
      <c r="F653" s="43"/>
      <c r="G653" s="44"/>
      <c r="H653" s="45"/>
      <c r="I653" s="45"/>
      <c r="J653" s="46"/>
      <c r="K653" s="47"/>
      <c r="L653" s="48"/>
      <c r="M653" s="48"/>
      <c r="N653" s="48"/>
      <c r="S653" s="49"/>
    </row>
    <row r="654" customFormat="false" ht="15.75" hidden="false" customHeight="true" outlineLevel="0" collapsed="false">
      <c r="B654" s="40"/>
      <c r="C654" s="41"/>
      <c r="D654" s="42"/>
      <c r="E654" s="40"/>
      <c r="F654" s="43"/>
      <c r="G654" s="44"/>
      <c r="H654" s="45"/>
      <c r="I654" s="45"/>
      <c r="J654" s="46"/>
      <c r="K654" s="47"/>
      <c r="L654" s="48"/>
      <c r="M654" s="48"/>
      <c r="N654" s="48"/>
      <c r="S654" s="49"/>
    </row>
    <row r="655" customFormat="false" ht="15.75" hidden="false" customHeight="true" outlineLevel="0" collapsed="false">
      <c r="B655" s="40"/>
      <c r="C655" s="41"/>
      <c r="D655" s="42"/>
      <c r="E655" s="40"/>
      <c r="F655" s="43"/>
      <c r="G655" s="44"/>
      <c r="H655" s="45"/>
      <c r="I655" s="45"/>
      <c r="J655" s="46"/>
      <c r="K655" s="47"/>
      <c r="L655" s="48"/>
      <c r="M655" s="48"/>
      <c r="N655" s="48"/>
      <c r="S655" s="49"/>
    </row>
    <row r="656" customFormat="false" ht="15.75" hidden="false" customHeight="true" outlineLevel="0" collapsed="false">
      <c r="B656" s="40"/>
      <c r="C656" s="41"/>
      <c r="D656" s="42"/>
      <c r="E656" s="40"/>
      <c r="F656" s="43"/>
      <c r="G656" s="44"/>
      <c r="H656" s="45"/>
      <c r="I656" s="45"/>
      <c r="J656" s="46"/>
      <c r="K656" s="47"/>
      <c r="L656" s="48"/>
      <c r="M656" s="48"/>
      <c r="N656" s="48"/>
      <c r="S656" s="49"/>
    </row>
    <row r="657" customFormat="false" ht="15.75" hidden="false" customHeight="true" outlineLevel="0" collapsed="false">
      <c r="B657" s="40"/>
      <c r="C657" s="41"/>
      <c r="D657" s="42"/>
      <c r="E657" s="40"/>
      <c r="F657" s="43"/>
      <c r="G657" s="44"/>
      <c r="H657" s="45"/>
      <c r="I657" s="45"/>
      <c r="J657" s="46"/>
      <c r="K657" s="47"/>
      <c r="L657" s="48"/>
      <c r="M657" s="48"/>
      <c r="N657" s="48"/>
      <c r="S657" s="49"/>
    </row>
    <row r="658" customFormat="false" ht="15.75" hidden="false" customHeight="true" outlineLevel="0" collapsed="false">
      <c r="B658" s="40"/>
      <c r="C658" s="41"/>
      <c r="D658" s="42"/>
      <c r="E658" s="40"/>
      <c r="F658" s="43"/>
      <c r="G658" s="44"/>
      <c r="H658" s="45"/>
      <c r="I658" s="45"/>
      <c r="J658" s="46"/>
      <c r="K658" s="47"/>
      <c r="L658" s="48"/>
      <c r="M658" s="48"/>
      <c r="N658" s="48"/>
      <c r="S658" s="49"/>
    </row>
    <row r="659" customFormat="false" ht="15.75" hidden="false" customHeight="true" outlineLevel="0" collapsed="false">
      <c r="B659" s="40"/>
      <c r="C659" s="41"/>
      <c r="D659" s="42"/>
      <c r="E659" s="40"/>
      <c r="F659" s="43"/>
      <c r="G659" s="44"/>
      <c r="H659" s="45"/>
      <c r="I659" s="45"/>
      <c r="J659" s="46"/>
      <c r="K659" s="47"/>
      <c r="L659" s="48"/>
      <c r="M659" s="48"/>
      <c r="N659" s="48"/>
      <c r="S659" s="49"/>
    </row>
    <row r="660" customFormat="false" ht="15.75" hidden="false" customHeight="true" outlineLevel="0" collapsed="false">
      <c r="B660" s="40"/>
      <c r="C660" s="41"/>
      <c r="D660" s="42"/>
      <c r="E660" s="40"/>
      <c r="F660" s="43"/>
      <c r="G660" s="44"/>
      <c r="H660" s="45"/>
      <c r="I660" s="45"/>
      <c r="J660" s="46"/>
      <c r="K660" s="47"/>
      <c r="L660" s="48"/>
      <c r="M660" s="48"/>
      <c r="N660" s="48"/>
      <c r="S660" s="49"/>
    </row>
    <row r="661" customFormat="false" ht="15.75" hidden="false" customHeight="true" outlineLevel="0" collapsed="false">
      <c r="B661" s="40"/>
      <c r="C661" s="41"/>
      <c r="D661" s="42"/>
      <c r="E661" s="40"/>
      <c r="F661" s="43"/>
      <c r="G661" s="44"/>
      <c r="H661" s="45"/>
      <c r="I661" s="45"/>
      <c r="J661" s="46"/>
      <c r="K661" s="47"/>
      <c r="L661" s="48"/>
      <c r="M661" s="48"/>
      <c r="N661" s="48"/>
      <c r="S661" s="49"/>
    </row>
    <row r="662" customFormat="false" ht="15.75" hidden="false" customHeight="true" outlineLevel="0" collapsed="false">
      <c r="B662" s="40"/>
      <c r="C662" s="41"/>
      <c r="D662" s="42"/>
      <c r="E662" s="40"/>
      <c r="F662" s="43"/>
      <c r="G662" s="44"/>
      <c r="H662" s="45"/>
      <c r="I662" s="45"/>
      <c r="J662" s="46"/>
      <c r="K662" s="47"/>
      <c r="L662" s="48"/>
      <c r="M662" s="48"/>
      <c r="N662" s="48"/>
      <c r="S662" s="49"/>
    </row>
    <row r="663" customFormat="false" ht="15.75" hidden="false" customHeight="true" outlineLevel="0" collapsed="false">
      <c r="B663" s="40"/>
      <c r="C663" s="41"/>
      <c r="D663" s="42"/>
      <c r="E663" s="40"/>
      <c r="F663" s="43"/>
      <c r="G663" s="44"/>
      <c r="H663" s="45"/>
      <c r="I663" s="45"/>
      <c r="J663" s="46"/>
      <c r="K663" s="47"/>
      <c r="L663" s="48"/>
      <c r="M663" s="48"/>
      <c r="N663" s="48"/>
      <c r="S663" s="49"/>
    </row>
    <row r="664" customFormat="false" ht="15.75" hidden="false" customHeight="true" outlineLevel="0" collapsed="false">
      <c r="B664" s="40"/>
      <c r="C664" s="41"/>
      <c r="D664" s="42"/>
      <c r="E664" s="40"/>
      <c r="F664" s="43"/>
      <c r="G664" s="44"/>
      <c r="H664" s="45"/>
      <c r="I664" s="45"/>
      <c r="J664" s="46"/>
      <c r="K664" s="47"/>
      <c r="L664" s="48"/>
      <c r="M664" s="48"/>
      <c r="N664" s="48"/>
      <c r="S664" s="49"/>
    </row>
    <row r="665" customFormat="false" ht="15.75" hidden="false" customHeight="true" outlineLevel="0" collapsed="false">
      <c r="B665" s="40"/>
      <c r="C665" s="41"/>
      <c r="D665" s="42"/>
      <c r="E665" s="40"/>
      <c r="F665" s="43"/>
      <c r="G665" s="44"/>
      <c r="H665" s="45"/>
      <c r="I665" s="45"/>
      <c r="J665" s="46"/>
      <c r="K665" s="47"/>
      <c r="L665" s="48"/>
      <c r="M665" s="48"/>
      <c r="N665" s="48"/>
      <c r="S665" s="49"/>
    </row>
    <row r="666" customFormat="false" ht="15.75" hidden="false" customHeight="true" outlineLevel="0" collapsed="false">
      <c r="B666" s="40"/>
      <c r="C666" s="41"/>
      <c r="D666" s="42"/>
      <c r="E666" s="40"/>
      <c r="F666" s="43"/>
      <c r="G666" s="44"/>
      <c r="H666" s="45"/>
      <c r="I666" s="45"/>
      <c r="J666" s="46"/>
      <c r="K666" s="47"/>
      <c r="L666" s="48"/>
      <c r="M666" s="48"/>
      <c r="N666" s="48"/>
      <c r="S666" s="49"/>
    </row>
    <row r="667" customFormat="false" ht="15.75" hidden="false" customHeight="true" outlineLevel="0" collapsed="false">
      <c r="B667" s="40"/>
      <c r="C667" s="41"/>
      <c r="D667" s="42"/>
      <c r="E667" s="40"/>
      <c r="F667" s="43"/>
      <c r="G667" s="44"/>
      <c r="H667" s="45"/>
      <c r="I667" s="45"/>
      <c r="J667" s="46"/>
      <c r="K667" s="47"/>
      <c r="L667" s="48"/>
      <c r="M667" s="48"/>
      <c r="N667" s="48"/>
      <c r="S667" s="49"/>
    </row>
    <row r="668" customFormat="false" ht="15.75" hidden="false" customHeight="true" outlineLevel="0" collapsed="false">
      <c r="B668" s="40"/>
      <c r="C668" s="41"/>
      <c r="D668" s="42"/>
      <c r="E668" s="40"/>
      <c r="F668" s="43"/>
      <c r="G668" s="44"/>
      <c r="H668" s="45"/>
      <c r="I668" s="45"/>
      <c r="J668" s="46"/>
      <c r="K668" s="47"/>
      <c r="L668" s="48"/>
      <c r="M668" s="48"/>
      <c r="N668" s="48"/>
      <c r="S668" s="49"/>
    </row>
    <row r="669" customFormat="false" ht="15.75" hidden="false" customHeight="true" outlineLevel="0" collapsed="false">
      <c r="B669" s="40"/>
      <c r="C669" s="41"/>
      <c r="D669" s="42"/>
      <c r="E669" s="40"/>
      <c r="F669" s="43"/>
      <c r="G669" s="44"/>
      <c r="H669" s="45"/>
      <c r="I669" s="45"/>
      <c r="J669" s="46"/>
      <c r="K669" s="47"/>
      <c r="L669" s="48"/>
      <c r="M669" s="48"/>
      <c r="N669" s="48"/>
      <c r="S669" s="49"/>
    </row>
    <row r="670" customFormat="false" ht="15.75" hidden="false" customHeight="true" outlineLevel="0" collapsed="false">
      <c r="B670" s="40"/>
      <c r="C670" s="41"/>
      <c r="D670" s="42"/>
      <c r="E670" s="40"/>
      <c r="F670" s="43"/>
      <c r="G670" s="44"/>
      <c r="H670" s="45"/>
      <c r="I670" s="45"/>
      <c r="J670" s="46"/>
      <c r="K670" s="47"/>
      <c r="L670" s="48"/>
      <c r="M670" s="48"/>
      <c r="N670" s="48"/>
      <c r="S670" s="49"/>
    </row>
    <row r="671" customFormat="false" ht="15.75" hidden="false" customHeight="true" outlineLevel="0" collapsed="false">
      <c r="B671" s="40"/>
      <c r="C671" s="41"/>
      <c r="D671" s="42"/>
      <c r="E671" s="40"/>
      <c r="F671" s="43"/>
      <c r="G671" s="44"/>
      <c r="H671" s="45"/>
      <c r="I671" s="45"/>
      <c r="J671" s="46"/>
      <c r="K671" s="47"/>
      <c r="L671" s="48"/>
      <c r="M671" s="48"/>
      <c r="N671" s="48"/>
      <c r="S671" s="49"/>
    </row>
    <row r="672" customFormat="false" ht="15.75" hidden="false" customHeight="true" outlineLevel="0" collapsed="false">
      <c r="B672" s="40"/>
      <c r="C672" s="41"/>
      <c r="D672" s="42"/>
      <c r="E672" s="40"/>
      <c r="F672" s="43"/>
      <c r="G672" s="44"/>
      <c r="H672" s="45"/>
      <c r="I672" s="45"/>
      <c r="J672" s="46"/>
      <c r="K672" s="47"/>
      <c r="L672" s="48"/>
      <c r="M672" s="48"/>
      <c r="N672" s="48"/>
      <c r="S672" s="49"/>
    </row>
    <row r="673" customFormat="false" ht="15.75" hidden="false" customHeight="true" outlineLevel="0" collapsed="false">
      <c r="B673" s="40"/>
      <c r="C673" s="41"/>
      <c r="D673" s="42"/>
      <c r="E673" s="40"/>
      <c r="F673" s="43"/>
      <c r="G673" s="44"/>
      <c r="H673" s="45"/>
      <c r="I673" s="45"/>
      <c r="J673" s="46"/>
      <c r="K673" s="47"/>
      <c r="L673" s="48"/>
      <c r="M673" s="48"/>
      <c r="N673" s="48"/>
      <c r="S673" s="49"/>
    </row>
    <row r="674" customFormat="false" ht="15.75" hidden="false" customHeight="true" outlineLevel="0" collapsed="false">
      <c r="B674" s="40"/>
      <c r="C674" s="41"/>
      <c r="D674" s="42"/>
      <c r="E674" s="40"/>
      <c r="F674" s="43"/>
      <c r="G674" s="44"/>
      <c r="H674" s="45"/>
      <c r="I674" s="45"/>
      <c r="J674" s="46"/>
      <c r="K674" s="47"/>
      <c r="L674" s="48"/>
      <c r="M674" s="48"/>
      <c r="N674" s="48"/>
      <c r="S674" s="49"/>
    </row>
    <row r="675" customFormat="false" ht="15.75" hidden="false" customHeight="true" outlineLevel="0" collapsed="false">
      <c r="B675" s="40"/>
      <c r="C675" s="41"/>
      <c r="D675" s="42"/>
      <c r="E675" s="40"/>
      <c r="F675" s="43"/>
      <c r="G675" s="44"/>
      <c r="H675" s="45"/>
      <c r="I675" s="45"/>
      <c r="J675" s="46"/>
      <c r="K675" s="47"/>
      <c r="L675" s="48"/>
      <c r="M675" s="48"/>
      <c r="N675" s="48"/>
      <c r="S675" s="49"/>
    </row>
    <row r="676" customFormat="false" ht="15.75" hidden="false" customHeight="true" outlineLevel="0" collapsed="false">
      <c r="B676" s="40"/>
      <c r="C676" s="41"/>
      <c r="D676" s="42"/>
      <c r="E676" s="40"/>
      <c r="F676" s="43"/>
      <c r="G676" s="44"/>
      <c r="H676" s="45"/>
      <c r="I676" s="45"/>
      <c r="J676" s="46"/>
      <c r="K676" s="47"/>
      <c r="L676" s="48"/>
      <c r="M676" s="48"/>
      <c r="N676" s="48"/>
      <c r="S676" s="49"/>
    </row>
    <row r="677" customFormat="false" ht="15.75" hidden="false" customHeight="true" outlineLevel="0" collapsed="false">
      <c r="B677" s="40"/>
      <c r="C677" s="41"/>
      <c r="D677" s="42"/>
      <c r="E677" s="40"/>
      <c r="F677" s="43"/>
      <c r="G677" s="44"/>
      <c r="H677" s="45"/>
      <c r="I677" s="45"/>
      <c r="J677" s="46"/>
      <c r="K677" s="47"/>
      <c r="L677" s="48"/>
      <c r="M677" s="48"/>
      <c r="N677" s="48"/>
      <c r="S677" s="49"/>
    </row>
    <row r="678" customFormat="false" ht="15.75" hidden="false" customHeight="true" outlineLevel="0" collapsed="false">
      <c r="B678" s="40"/>
      <c r="C678" s="41"/>
      <c r="D678" s="42"/>
      <c r="E678" s="40"/>
      <c r="F678" s="43"/>
      <c r="G678" s="44"/>
      <c r="H678" s="45"/>
      <c r="I678" s="45"/>
      <c r="J678" s="46"/>
      <c r="K678" s="47"/>
      <c r="L678" s="48"/>
      <c r="M678" s="48"/>
      <c r="N678" s="48"/>
      <c r="S678" s="49"/>
    </row>
    <row r="679" customFormat="false" ht="15.75" hidden="false" customHeight="true" outlineLevel="0" collapsed="false">
      <c r="B679" s="40"/>
      <c r="C679" s="41"/>
      <c r="D679" s="42"/>
      <c r="E679" s="40"/>
      <c r="F679" s="43"/>
      <c r="G679" s="44"/>
      <c r="H679" s="45"/>
      <c r="I679" s="45"/>
      <c r="J679" s="46"/>
      <c r="K679" s="47"/>
      <c r="L679" s="48"/>
      <c r="M679" s="48"/>
      <c r="N679" s="48"/>
      <c r="S679" s="49"/>
    </row>
    <row r="680" customFormat="false" ht="15.75" hidden="false" customHeight="true" outlineLevel="0" collapsed="false">
      <c r="B680" s="40"/>
      <c r="C680" s="41"/>
      <c r="D680" s="42"/>
      <c r="E680" s="40"/>
      <c r="F680" s="43"/>
      <c r="G680" s="44"/>
      <c r="H680" s="45"/>
      <c r="I680" s="45"/>
      <c r="J680" s="46"/>
      <c r="K680" s="47"/>
      <c r="L680" s="48"/>
      <c r="M680" s="48"/>
      <c r="N680" s="48"/>
      <c r="S680" s="49"/>
    </row>
    <row r="681" customFormat="false" ht="15.75" hidden="false" customHeight="true" outlineLevel="0" collapsed="false">
      <c r="B681" s="40"/>
      <c r="C681" s="41"/>
      <c r="D681" s="42"/>
      <c r="E681" s="40"/>
      <c r="F681" s="43"/>
      <c r="G681" s="44"/>
      <c r="H681" s="45"/>
      <c r="I681" s="45"/>
      <c r="J681" s="46"/>
      <c r="K681" s="47"/>
      <c r="L681" s="48"/>
      <c r="M681" s="48"/>
      <c r="N681" s="48"/>
      <c r="S681" s="49"/>
    </row>
    <row r="682" customFormat="false" ht="15.75" hidden="false" customHeight="true" outlineLevel="0" collapsed="false">
      <c r="B682" s="40"/>
      <c r="C682" s="41"/>
      <c r="D682" s="42"/>
      <c r="E682" s="40"/>
      <c r="F682" s="43"/>
      <c r="G682" s="44"/>
      <c r="H682" s="45"/>
      <c r="I682" s="45"/>
      <c r="J682" s="46"/>
      <c r="K682" s="47"/>
      <c r="L682" s="48"/>
      <c r="M682" s="48"/>
      <c r="N682" s="48"/>
      <c r="S682" s="49"/>
    </row>
    <row r="683" customFormat="false" ht="15.75" hidden="false" customHeight="true" outlineLevel="0" collapsed="false">
      <c r="B683" s="40"/>
      <c r="C683" s="41"/>
      <c r="D683" s="42"/>
      <c r="E683" s="40"/>
      <c r="F683" s="43"/>
      <c r="G683" s="44"/>
      <c r="H683" s="45"/>
      <c r="I683" s="45"/>
      <c r="J683" s="46"/>
      <c r="K683" s="47"/>
      <c r="L683" s="48"/>
      <c r="M683" s="48"/>
      <c r="N683" s="48"/>
      <c r="S683" s="49"/>
    </row>
    <row r="684" customFormat="false" ht="15.75" hidden="false" customHeight="true" outlineLevel="0" collapsed="false">
      <c r="B684" s="40"/>
      <c r="C684" s="41"/>
      <c r="D684" s="42"/>
      <c r="E684" s="40"/>
      <c r="F684" s="43"/>
      <c r="G684" s="44"/>
      <c r="H684" s="45"/>
      <c r="I684" s="45"/>
      <c r="J684" s="46"/>
      <c r="K684" s="47"/>
      <c r="L684" s="48"/>
      <c r="M684" s="48"/>
      <c r="N684" s="48"/>
      <c r="S684" s="49"/>
    </row>
    <row r="685" customFormat="false" ht="15.75" hidden="false" customHeight="true" outlineLevel="0" collapsed="false">
      <c r="B685" s="40"/>
      <c r="C685" s="41"/>
      <c r="D685" s="42"/>
      <c r="E685" s="40"/>
      <c r="F685" s="43"/>
      <c r="G685" s="44"/>
      <c r="H685" s="45"/>
      <c r="I685" s="45"/>
      <c r="J685" s="46"/>
      <c r="K685" s="47"/>
      <c r="L685" s="48"/>
      <c r="M685" s="48"/>
      <c r="N685" s="48"/>
      <c r="S685" s="49"/>
    </row>
    <row r="686" customFormat="false" ht="15.75" hidden="false" customHeight="true" outlineLevel="0" collapsed="false">
      <c r="B686" s="40"/>
      <c r="C686" s="41"/>
      <c r="D686" s="42"/>
      <c r="E686" s="40"/>
      <c r="F686" s="43"/>
      <c r="G686" s="44"/>
      <c r="H686" s="45"/>
      <c r="I686" s="45"/>
      <c r="J686" s="46"/>
      <c r="K686" s="47"/>
      <c r="L686" s="48"/>
      <c r="M686" s="48"/>
      <c r="N686" s="48"/>
      <c r="S686" s="49"/>
    </row>
    <row r="687" customFormat="false" ht="15.75" hidden="false" customHeight="true" outlineLevel="0" collapsed="false">
      <c r="B687" s="40"/>
      <c r="C687" s="41"/>
      <c r="D687" s="42"/>
      <c r="E687" s="40"/>
      <c r="F687" s="43"/>
      <c r="G687" s="44"/>
      <c r="H687" s="45"/>
      <c r="I687" s="45"/>
      <c r="J687" s="46"/>
      <c r="K687" s="47"/>
      <c r="L687" s="48"/>
      <c r="M687" s="48"/>
      <c r="N687" s="48"/>
      <c r="S687" s="49"/>
    </row>
    <row r="688" customFormat="false" ht="15.75" hidden="false" customHeight="true" outlineLevel="0" collapsed="false">
      <c r="B688" s="40"/>
      <c r="C688" s="41"/>
      <c r="D688" s="42"/>
      <c r="E688" s="40"/>
      <c r="F688" s="43"/>
      <c r="G688" s="44"/>
      <c r="H688" s="45"/>
      <c r="I688" s="45"/>
      <c r="J688" s="46"/>
      <c r="K688" s="47"/>
      <c r="L688" s="48"/>
      <c r="M688" s="48"/>
      <c r="N688" s="48"/>
      <c r="S688" s="49"/>
    </row>
    <row r="689" customFormat="false" ht="15.75" hidden="false" customHeight="true" outlineLevel="0" collapsed="false">
      <c r="B689" s="40"/>
      <c r="C689" s="41"/>
      <c r="D689" s="42"/>
      <c r="E689" s="40"/>
      <c r="F689" s="43"/>
      <c r="G689" s="44"/>
      <c r="H689" s="45"/>
      <c r="I689" s="45"/>
      <c r="J689" s="46"/>
      <c r="K689" s="47"/>
      <c r="L689" s="48"/>
      <c r="M689" s="48"/>
      <c r="N689" s="48"/>
      <c r="S689" s="49"/>
    </row>
    <row r="690" customFormat="false" ht="15.75" hidden="false" customHeight="true" outlineLevel="0" collapsed="false">
      <c r="B690" s="40"/>
      <c r="C690" s="41"/>
      <c r="D690" s="42"/>
      <c r="E690" s="40"/>
      <c r="F690" s="43"/>
      <c r="G690" s="44"/>
      <c r="H690" s="45"/>
      <c r="I690" s="45"/>
      <c r="J690" s="46"/>
      <c r="K690" s="47"/>
      <c r="L690" s="48"/>
      <c r="M690" s="48"/>
      <c r="N690" s="48"/>
      <c r="S690" s="49"/>
    </row>
    <row r="691" customFormat="false" ht="15.75" hidden="false" customHeight="true" outlineLevel="0" collapsed="false">
      <c r="B691" s="40"/>
      <c r="C691" s="41"/>
      <c r="D691" s="42"/>
      <c r="E691" s="40"/>
      <c r="F691" s="43"/>
      <c r="G691" s="44"/>
      <c r="H691" s="45"/>
      <c r="I691" s="45"/>
      <c r="J691" s="46"/>
      <c r="K691" s="47"/>
      <c r="L691" s="48"/>
      <c r="M691" s="48"/>
      <c r="N691" s="48"/>
      <c r="S691" s="49"/>
    </row>
    <row r="692" customFormat="false" ht="15.75" hidden="false" customHeight="true" outlineLevel="0" collapsed="false">
      <c r="B692" s="40"/>
      <c r="C692" s="41"/>
      <c r="D692" s="42"/>
      <c r="E692" s="40"/>
      <c r="F692" s="43"/>
      <c r="G692" s="44"/>
      <c r="H692" s="45"/>
      <c r="I692" s="45"/>
      <c r="J692" s="46"/>
      <c r="K692" s="47"/>
      <c r="L692" s="48"/>
      <c r="M692" s="48"/>
      <c r="N692" s="48"/>
      <c r="S692" s="49"/>
    </row>
    <row r="693" customFormat="false" ht="15.75" hidden="false" customHeight="true" outlineLevel="0" collapsed="false">
      <c r="B693" s="40"/>
      <c r="C693" s="41"/>
      <c r="D693" s="42"/>
      <c r="E693" s="40"/>
      <c r="F693" s="43"/>
      <c r="G693" s="44"/>
      <c r="H693" s="45"/>
      <c r="I693" s="45"/>
      <c r="J693" s="46"/>
      <c r="K693" s="47"/>
      <c r="L693" s="48"/>
      <c r="M693" s="48"/>
      <c r="N693" s="48"/>
      <c r="S693" s="49"/>
    </row>
    <row r="694" customFormat="false" ht="15.75" hidden="false" customHeight="true" outlineLevel="0" collapsed="false">
      <c r="B694" s="40"/>
      <c r="C694" s="41"/>
      <c r="D694" s="42"/>
      <c r="E694" s="40"/>
      <c r="F694" s="43"/>
      <c r="G694" s="44"/>
      <c r="H694" s="45"/>
      <c r="I694" s="45"/>
      <c r="J694" s="46"/>
      <c r="K694" s="47"/>
      <c r="L694" s="48"/>
      <c r="M694" s="48"/>
      <c r="N694" s="48"/>
      <c r="S694" s="49"/>
    </row>
    <row r="695" customFormat="false" ht="15.75" hidden="false" customHeight="true" outlineLevel="0" collapsed="false">
      <c r="B695" s="40"/>
      <c r="C695" s="41"/>
      <c r="D695" s="42"/>
      <c r="E695" s="40"/>
      <c r="F695" s="43"/>
      <c r="G695" s="44"/>
      <c r="H695" s="45"/>
      <c r="I695" s="45"/>
      <c r="J695" s="46"/>
      <c r="K695" s="47"/>
      <c r="L695" s="48"/>
      <c r="M695" s="48"/>
      <c r="N695" s="48"/>
      <c r="S695" s="49"/>
    </row>
    <row r="696" customFormat="false" ht="15.75" hidden="false" customHeight="true" outlineLevel="0" collapsed="false">
      <c r="B696" s="40"/>
      <c r="C696" s="41"/>
      <c r="D696" s="42"/>
      <c r="E696" s="40"/>
      <c r="F696" s="43"/>
      <c r="G696" s="44"/>
      <c r="H696" s="45"/>
      <c r="I696" s="45"/>
      <c r="J696" s="46"/>
      <c r="K696" s="47"/>
      <c r="L696" s="48"/>
      <c r="M696" s="48"/>
      <c r="N696" s="48"/>
      <c r="S696" s="49"/>
    </row>
    <row r="697" customFormat="false" ht="15.75" hidden="false" customHeight="true" outlineLevel="0" collapsed="false">
      <c r="B697" s="40"/>
      <c r="C697" s="41"/>
      <c r="D697" s="42"/>
      <c r="E697" s="40"/>
      <c r="F697" s="43"/>
      <c r="G697" s="44"/>
      <c r="H697" s="45"/>
      <c r="I697" s="45"/>
      <c r="J697" s="46"/>
      <c r="K697" s="47"/>
      <c r="L697" s="48"/>
      <c r="M697" s="48"/>
      <c r="N697" s="48"/>
      <c r="S697" s="49"/>
    </row>
    <row r="698" customFormat="false" ht="15.75" hidden="false" customHeight="true" outlineLevel="0" collapsed="false">
      <c r="B698" s="40"/>
      <c r="C698" s="41"/>
      <c r="D698" s="42"/>
      <c r="E698" s="40"/>
      <c r="F698" s="43"/>
      <c r="G698" s="44"/>
      <c r="H698" s="45"/>
      <c r="I698" s="45"/>
      <c r="J698" s="46"/>
      <c r="K698" s="47"/>
      <c r="L698" s="48"/>
      <c r="M698" s="48"/>
      <c r="N698" s="48"/>
      <c r="S698" s="49"/>
    </row>
    <row r="699" customFormat="false" ht="15.75" hidden="false" customHeight="true" outlineLevel="0" collapsed="false">
      <c r="B699" s="40"/>
      <c r="C699" s="41"/>
      <c r="D699" s="42"/>
      <c r="E699" s="40"/>
      <c r="F699" s="43"/>
      <c r="G699" s="44"/>
      <c r="H699" s="45"/>
      <c r="I699" s="45"/>
      <c r="J699" s="46"/>
      <c r="K699" s="47"/>
      <c r="L699" s="48"/>
      <c r="M699" s="48"/>
      <c r="N699" s="48"/>
      <c r="S699" s="49"/>
    </row>
    <row r="700" customFormat="false" ht="15.75" hidden="false" customHeight="true" outlineLevel="0" collapsed="false">
      <c r="B700" s="40"/>
      <c r="C700" s="41"/>
      <c r="D700" s="42"/>
      <c r="E700" s="40"/>
      <c r="F700" s="43"/>
      <c r="G700" s="44"/>
      <c r="H700" s="45"/>
      <c r="I700" s="45"/>
      <c r="J700" s="46"/>
      <c r="K700" s="47"/>
      <c r="L700" s="48"/>
      <c r="M700" s="48"/>
      <c r="N700" s="48"/>
      <c r="S700" s="49"/>
    </row>
    <row r="701" customFormat="false" ht="15.75" hidden="false" customHeight="true" outlineLevel="0" collapsed="false">
      <c r="B701" s="40"/>
      <c r="C701" s="41"/>
      <c r="D701" s="42"/>
      <c r="E701" s="40"/>
      <c r="F701" s="43"/>
      <c r="G701" s="44"/>
      <c r="H701" s="45"/>
      <c r="I701" s="45"/>
      <c r="J701" s="46"/>
      <c r="K701" s="47"/>
      <c r="L701" s="48"/>
      <c r="M701" s="48"/>
      <c r="N701" s="48"/>
      <c r="S701" s="49"/>
    </row>
    <row r="702" customFormat="false" ht="15.75" hidden="false" customHeight="true" outlineLevel="0" collapsed="false">
      <c r="B702" s="40"/>
      <c r="C702" s="41"/>
      <c r="D702" s="42"/>
      <c r="E702" s="40"/>
      <c r="F702" s="43"/>
      <c r="G702" s="44"/>
      <c r="H702" s="45"/>
      <c r="I702" s="45"/>
      <c r="J702" s="46"/>
      <c r="K702" s="47"/>
      <c r="L702" s="48"/>
      <c r="M702" s="48"/>
      <c r="N702" s="48"/>
      <c r="S702" s="49"/>
    </row>
    <row r="703" customFormat="false" ht="15.75" hidden="false" customHeight="true" outlineLevel="0" collapsed="false">
      <c r="B703" s="40"/>
      <c r="C703" s="41"/>
      <c r="D703" s="42"/>
      <c r="E703" s="40"/>
      <c r="F703" s="43"/>
      <c r="G703" s="44"/>
      <c r="H703" s="45"/>
      <c r="I703" s="45"/>
      <c r="J703" s="46"/>
      <c r="K703" s="47"/>
      <c r="L703" s="48"/>
      <c r="M703" s="48"/>
      <c r="N703" s="48"/>
      <c r="S703" s="49"/>
    </row>
    <row r="704" customFormat="false" ht="15.75" hidden="false" customHeight="true" outlineLevel="0" collapsed="false">
      <c r="B704" s="40"/>
      <c r="C704" s="41"/>
      <c r="D704" s="42"/>
      <c r="E704" s="40"/>
      <c r="F704" s="43"/>
      <c r="G704" s="44"/>
      <c r="H704" s="45"/>
      <c r="I704" s="45"/>
      <c r="J704" s="46"/>
      <c r="K704" s="47"/>
      <c r="L704" s="48"/>
      <c r="M704" s="48"/>
      <c r="N704" s="48"/>
      <c r="S704" s="49"/>
    </row>
    <row r="705" customFormat="false" ht="15.75" hidden="false" customHeight="true" outlineLevel="0" collapsed="false">
      <c r="B705" s="40"/>
      <c r="C705" s="41"/>
      <c r="D705" s="42"/>
      <c r="E705" s="40"/>
      <c r="F705" s="43"/>
      <c r="G705" s="44"/>
      <c r="H705" s="45"/>
      <c r="I705" s="45"/>
      <c r="J705" s="46"/>
      <c r="K705" s="47"/>
      <c r="L705" s="48"/>
      <c r="M705" s="48"/>
      <c r="N705" s="48"/>
      <c r="S705" s="49"/>
    </row>
    <row r="706" customFormat="false" ht="15.75" hidden="false" customHeight="true" outlineLevel="0" collapsed="false">
      <c r="B706" s="40"/>
      <c r="C706" s="41"/>
      <c r="D706" s="42"/>
      <c r="E706" s="40"/>
      <c r="F706" s="43"/>
      <c r="G706" s="44"/>
      <c r="H706" s="45"/>
      <c r="I706" s="45"/>
      <c r="J706" s="46"/>
      <c r="K706" s="47"/>
      <c r="L706" s="48"/>
      <c r="M706" s="48"/>
      <c r="N706" s="48"/>
      <c r="S706" s="49"/>
    </row>
    <row r="707" customFormat="false" ht="15.75" hidden="false" customHeight="true" outlineLevel="0" collapsed="false">
      <c r="B707" s="40"/>
      <c r="C707" s="41"/>
      <c r="D707" s="42"/>
      <c r="E707" s="40"/>
      <c r="F707" s="43"/>
      <c r="G707" s="44"/>
      <c r="H707" s="45"/>
      <c r="I707" s="45"/>
      <c r="J707" s="46"/>
      <c r="K707" s="47"/>
      <c r="L707" s="48"/>
      <c r="M707" s="48"/>
      <c r="N707" s="48"/>
      <c r="S707" s="49"/>
    </row>
    <row r="708" customFormat="false" ht="15.75" hidden="false" customHeight="true" outlineLevel="0" collapsed="false">
      <c r="B708" s="40"/>
      <c r="C708" s="41"/>
      <c r="D708" s="42"/>
      <c r="E708" s="40"/>
      <c r="F708" s="43"/>
      <c r="G708" s="44"/>
      <c r="H708" s="45"/>
      <c r="I708" s="45"/>
      <c r="J708" s="46"/>
      <c r="K708" s="47"/>
      <c r="L708" s="48"/>
      <c r="M708" s="48"/>
      <c r="N708" s="48"/>
      <c r="S708" s="49"/>
    </row>
    <row r="709" customFormat="false" ht="15.75" hidden="false" customHeight="true" outlineLevel="0" collapsed="false">
      <c r="B709" s="40"/>
      <c r="C709" s="41"/>
      <c r="D709" s="42"/>
      <c r="E709" s="40"/>
      <c r="F709" s="43"/>
      <c r="G709" s="44"/>
      <c r="H709" s="45"/>
      <c r="I709" s="45"/>
      <c r="J709" s="46"/>
      <c r="K709" s="47"/>
      <c r="L709" s="48"/>
      <c r="M709" s="48"/>
      <c r="N709" s="48"/>
      <c r="S709" s="49"/>
    </row>
    <row r="710" customFormat="false" ht="15.75" hidden="false" customHeight="true" outlineLevel="0" collapsed="false">
      <c r="B710" s="40"/>
      <c r="C710" s="41"/>
      <c r="D710" s="42"/>
      <c r="E710" s="40"/>
      <c r="F710" s="43"/>
      <c r="G710" s="44"/>
      <c r="H710" s="45"/>
      <c r="I710" s="45"/>
      <c r="J710" s="46"/>
      <c r="K710" s="47"/>
      <c r="L710" s="48"/>
      <c r="M710" s="48"/>
      <c r="N710" s="48"/>
      <c r="S710" s="49"/>
    </row>
    <row r="711" customFormat="false" ht="15.75" hidden="false" customHeight="true" outlineLevel="0" collapsed="false">
      <c r="B711" s="40"/>
      <c r="C711" s="41"/>
      <c r="D711" s="42"/>
      <c r="E711" s="40"/>
      <c r="F711" s="43"/>
      <c r="G711" s="44"/>
      <c r="H711" s="45"/>
      <c r="I711" s="45"/>
      <c r="J711" s="46"/>
      <c r="K711" s="47"/>
      <c r="L711" s="48"/>
      <c r="M711" s="48"/>
      <c r="N711" s="48"/>
      <c r="S711" s="49"/>
    </row>
    <row r="712" customFormat="false" ht="15.75" hidden="false" customHeight="true" outlineLevel="0" collapsed="false">
      <c r="B712" s="40"/>
      <c r="C712" s="41"/>
      <c r="D712" s="42"/>
      <c r="E712" s="40"/>
      <c r="F712" s="43"/>
      <c r="G712" s="44"/>
      <c r="H712" s="45"/>
      <c r="I712" s="45"/>
      <c r="J712" s="46"/>
      <c r="K712" s="47"/>
      <c r="L712" s="48"/>
      <c r="M712" s="48"/>
      <c r="N712" s="48"/>
      <c r="S712" s="49"/>
    </row>
    <row r="713" customFormat="false" ht="15.75" hidden="false" customHeight="true" outlineLevel="0" collapsed="false">
      <c r="B713" s="40"/>
      <c r="C713" s="41"/>
      <c r="D713" s="42"/>
      <c r="E713" s="40"/>
      <c r="F713" s="43"/>
      <c r="G713" s="44"/>
      <c r="H713" s="45"/>
      <c r="I713" s="45"/>
      <c r="J713" s="46"/>
      <c r="K713" s="47"/>
      <c r="L713" s="48"/>
      <c r="M713" s="48"/>
      <c r="N713" s="48"/>
      <c r="S713" s="49"/>
    </row>
    <row r="714" customFormat="false" ht="15.75" hidden="false" customHeight="true" outlineLevel="0" collapsed="false">
      <c r="B714" s="40"/>
      <c r="C714" s="41"/>
      <c r="D714" s="42"/>
      <c r="E714" s="40"/>
      <c r="F714" s="43"/>
      <c r="G714" s="44"/>
      <c r="H714" s="45"/>
      <c r="I714" s="45"/>
      <c r="J714" s="46"/>
      <c r="K714" s="47"/>
      <c r="L714" s="48"/>
      <c r="M714" s="48"/>
      <c r="N714" s="48"/>
      <c r="S714" s="49"/>
    </row>
    <row r="715" customFormat="false" ht="15.75" hidden="false" customHeight="true" outlineLevel="0" collapsed="false">
      <c r="B715" s="40"/>
      <c r="C715" s="41"/>
      <c r="D715" s="42"/>
      <c r="E715" s="40"/>
      <c r="F715" s="43"/>
      <c r="G715" s="44"/>
      <c r="H715" s="45"/>
      <c r="I715" s="45"/>
      <c r="J715" s="46"/>
      <c r="K715" s="47"/>
      <c r="L715" s="48"/>
      <c r="M715" s="48"/>
      <c r="N715" s="48"/>
      <c r="S715" s="49"/>
    </row>
    <row r="716" customFormat="false" ht="15.75" hidden="false" customHeight="true" outlineLevel="0" collapsed="false">
      <c r="B716" s="40"/>
      <c r="C716" s="41"/>
      <c r="D716" s="42"/>
      <c r="E716" s="40"/>
      <c r="F716" s="43"/>
      <c r="G716" s="44"/>
      <c r="H716" s="45"/>
      <c r="I716" s="45"/>
      <c r="J716" s="46"/>
      <c r="K716" s="47"/>
      <c r="L716" s="48"/>
      <c r="M716" s="48"/>
      <c r="N716" s="48"/>
      <c r="S716" s="49"/>
    </row>
    <row r="717" customFormat="false" ht="15.75" hidden="false" customHeight="true" outlineLevel="0" collapsed="false">
      <c r="B717" s="40"/>
      <c r="C717" s="41"/>
      <c r="D717" s="42"/>
      <c r="E717" s="40"/>
      <c r="F717" s="43"/>
      <c r="G717" s="44"/>
      <c r="H717" s="45"/>
      <c r="I717" s="45"/>
      <c r="J717" s="46"/>
      <c r="K717" s="47"/>
      <c r="L717" s="48"/>
      <c r="M717" s="48"/>
      <c r="N717" s="48"/>
      <c r="S717" s="49"/>
    </row>
    <row r="718" customFormat="false" ht="15.75" hidden="false" customHeight="true" outlineLevel="0" collapsed="false">
      <c r="B718" s="40"/>
      <c r="C718" s="41"/>
      <c r="D718" s="42"/>
      <c r="E718" s="40"/>
      <c r="F718" s="43"/>
      <c r="G718" s="44"/>
      <c r="H718" s="45"/>
      <c r="I718" s="45"/>
      <c r="J718" s="46"/>
      <c r="K718" s="47"/>
      <c r="L718" s="48"/>
      <c r="M718" s="48"/>
      <c r="N718" s="48"/>
      <c r="S718" s="49"/>
    </row>
    <row r="719" customFormat="false" ht="15.75" hidden="false" customHeight="true" outlineLevel="0" collapsed="false">
      <c r="B719" s="40"/>
      <c r="C719" s="41"/>
      <c r="D719" s="42"/>
      <c r="E719" s="40"/>
      <c r="F719" s="43"/>
      <c r="G719" s="44"/>
      <c r="H719" s="45"/>
      <c r="I719" s="45"/>
      <c r="J719" s="46"/>
      <c r="K719" s="47"/>
      <c r="L719" s="48"/>
      <c r="M719" s="48"/>
      <c r="N719" s="48"/>
      <c r="S719" s="49"/>
    </row>
    <row r="720" customFormat="false" ht="15.75" hidden="false" customHeight="true" outlineLevel="0" collapsed="false">
      <c r="B720" s="40"/>
      <c r="C720" s="41"/>
      <c r="D720" s="42"/>
      <c r="E720" s="40"/>
      <c r="F720" s="43"/>
      <c r="G720" s="44"/>
      <c r="H720" s="45"/>
      <c r="I720" s="45"/>
      <c r="J720" s="46"/>
      <c r="K720" s="47"/>
      <c r="L720" s="48"/>
      <c r="M720" s="48"/>
      <c r="N720" s="48"/>
      <c r="S720" s="49"/>
    </row>
    <row r="721" customFormat="false" ht="15.75" hidden="false" customHeight="true" outlineLevel="0" collapsed="false">
      <c r="B721" s="40"/>
      <c r="C721" s="41"/>
      <c r="D721" s="42"/>
      <c r="E721" s="40"/>
      <c r="F721" s="43"/>
      <c r="G721" s="44"/>
      <c r="H721" s="45"/>
      <c r="I721" s="45"/>
      <c r="J721" s="46"/>
      <c r="K721" s="47"/>
      <c r="L721" s="48"/>
      <c r="M721" s="48"/>
      <c r="N721" s="48"/>
      <c r="S721" s="49"/>
    </row>
    <row r="722" customFormat="false" ht="15.75" hidden="false" customHeight="true" outlineLevel="0" collapsed="false">
      <c r="B722" s="40"/>
      <c r="C722" s="41"/>
      <c r="D722" s="42"/>
      <c r="E722" s="40"/>
      <c r="F722" s="43"/>
      <c r="G722" s="44"/>
      <c r="H722" s="45"/>
      <c r="I722" s="45"/>
      <c r="J722" s="46"/>
      <c r="K722" s="47"/>
      <c r="L722" s="48"/>
      <c r="M722" s="48"/>
      <c r="N722" s="48"/>
      <c r="S722" s="49"/>
    </row>
    <row r="723" customFormat="false" ht="15.75" hidden="false" customHeight="true" outlineLevel="0" collapsed="false">
      <c r="B723" s="40"/>
      <c r="C723" s="41"/>
      <c r="D723" s="42"/>
      <c r="E723" s="40"/>
      <c r="F723" s="43"/>
      <c r="G723" s="44"/>
      <c r="H723" s="45"/>
      <c r="I723" s="45"/>
      <c r="J723" s="46"/>
      <c r="K723" s="47"/>
      <c r="L723" s="48"/>
      <c r="M723" s="48"/>
      <c r="N723" s="48"/>
      <c r="S723" s="49"/>
    </row>
    <row r="724" customFormat="false" ht="15.75" hidden="false" customHeight="true" outlineLevel="0" collapsed="false">
      <c r="B724" s="40"/>
      <c r="C724" s="41"/>
      <c r="D724" s="42"/>
      <c r="E724" s="40"/>
      <c r="F724" s="43"/>
      <c r="G724" s="44"/>
      <c r="H724" s="45"/>
      <c r="I724" s="45"/>
      <c r="J724" s="46"/>
      <c r="K724" s="47"/>
      <c r="L724" s="48"/>
      <c r="M724" s="48"/>
      <c r="N724" s="48"/>
      <c r="S724" s="49"/>
    </row>
    <row r="725" customFormat="false" ht="15.75" hidden="false" customHeight="true" outlineLevel="0" collapsed="false">
      <c r="B725" s="40"/>
      <c r="C725" s="41"/>
      <c r="D725" s="42"/>
      <c r="E725" s="40"/>
      <c r="F725" s="43"/>
      <c r="G725" s="44"/>
      <c r="H725" s="45"/>
      <c r="I725" s="45"/>
      <c r="J725" s="46"/>
      <c r="K725" s="47"/>
      <c r="L725" s="48"/>
      <c r="M725" s="48"/>
      <c r="N725" s="48"/>
      <c r="S725" s="49"/>
    </row>
    <row r="726" customFormat="false" ht="15.75" hidden="false" customHeight="true" outlineLevel="0" collapsed="false">
      <c r="B726" s="40"/>
      <c r="C726" s="41"/>
      <c r="D726" s="42"/>
      <c r="E726" s="40"/>
      <c r="F726" s="43"/>
      <c r="G726" s="44"/>
      <c r="H726" s="45"/>
      <c r="I726" s="45"/>
      <c r="J726" s="46"/>
      <c r="K726" s="47"/>
      <c r="L726" s="48"/>
      <c r="M726" s="48"/>
      <c r="N726" s="48"/>
      <c r="S726" s="49"/>
    </row>
    <row r="727" customFormat="false" ht="15.75" hidden="false" customHeight="true" outlineLevel="0" collapsed="false">
      <c r="B727" s="40"/>
      <c r="C727" s="41"/>
      <c r="D727" s="42"/>
      <c r="E727" s="40"/>
      <c r="F727" s="43"/>
      <c r="G727" s="44"/>
      <c r="H727" s="45"/>
      <c r="I727" s="45"/>
      <c r="J727" s="46"/>
      <c r="K727" s="47"/>
      <c r="L727" s="48"/>
      <c r="M727" s="48"/>
      <c r="N727" s="48"/>
      <c r="S727" s="49"/>
    </row>
    <row r="728" customFormat="false" ht="15.75" hidden="false" customHeight="true" outlineLevel="0" collapsed="false">
      <c r="B728" s="40"/>
      <c r="C728" s="41"/>
      <c r="D728" s="42"/>
      <c r="E728" s="40"/>
      <c r="F728" s="43"/>
      <c r="G728" s="44"/>
      <c r="H728" s="45"/>
      <c r="I728" s="45"/>
      <c r="J728" s="46"/>
      <c r="K728" s="47"/>
      <c r="L728" s="48"/>
      <c r="M728" s="48"/>
      <c r="N728" s="48"/>
      <c r="S728" s="49"/>
    </row>
    <row r="729" customFormat="false" ht="15.75" hidden="false" customHeight="true" outlineLevel="0" collapsed="false">
      <c r="B729" s="40"/>
      <c r="C729" s="41"/>
      <c r="D729" s="42"/>
      <c r="E729" s="40"/>
      <c r="F729" s="43"/>
      <c r="G729" s="44"/>
      <c r="H729" s="45"/>
      <c r="I729" s="45"/>
      <c r="J729" s="46"/>
      <c r="K729" s="47"/>
      <c r="L729" s="48"/>
      <c r="M729" s="48"/>
      <c r="N729" s="48"/>
      <c r="S729" s="49"/>
    </row>
    <row r="730" customFormat="false" ht="15.75" hidden="false" customHeight="true" outlineLevel="0" collapsed="false">
      <c r="B730" s="40"/>
      <c r="C730" s="41"/>
      <c r="D730" s="42"/>
      <c r="E730" s="40"/>
      <c r="F730" s="43"/>
      <c r="G730" s="44"/>
      <c r="H730" s="45"/>
      <c r="I730" s="45"/>
      <c r="J730" s="46"/>
      <c r="K730" s="47"/>
      <c r="L730" s="48"/>
      <c r="M730" s="48"/>
      <c r="N730" s="48"/>
      <c r="S730" s="49"/>
    </row>
    <row r="731" customFormat="false" ht="15.75" hidden="false" customHeight="true" outlineLevel="0" collapsed="false">
      <c r="B731" s="40"/>
      <c r="C731" s="41"/>
      <c r="D731" s="42"/>
      <c r="E731" s="40"/>
      <c r="F731" s="43"/>
      <c r="G731" s="44"/>
      <c r="H731" s="45"/>
      <c r="I731" s="45"/>
      <c r="J731" s="46"/>
      <c r="K731" s="47"/>
      <c r="L731" s="48"/>
      <c r="M731" s="48"/>
      <c r="N731" s="48"/>
      <c r="S731" s="49"/>
    </row>
    <row r="732" customFormat="false" ht="15.75" hidden="false" customHeight="true" outlineLevel="0" collapsed="false">
      <c r="B732" s="40"/>
      <c r="C732" s="41"/>
      <c r="D732" s="42"/>
      <c r="E732" s="40"/>
      <c r="F732" s="43"/>
      <c r="G732" s="44"/>
      <c r="H732" s="45"/>
      <c r="I732" s="45"/>
      <c r="J732" s="46"/>
      <c r="K732" s="47"/>
      <c r="L732" s="48"/>
      <c r="M732" s="48"/>
      <c r="N732" s="48"/>
      <c r="S732" s="49"/>
    </row>
    <row r="733" customFormat="false" ht="15.75" hidden="false" customHeight="true" outlineLevel="0" collapsed="false">
      <c r="B733" s="40"/>
      <c r="C733" s="41"/>
      <c r="D733" s="42"/>
      <c r="E733" s="40"/>
      <c r="F733" s="43"/>
      <c r="G733" s="44"/>
      <c r="H733" s="45"/>
      <c r="I733" s="45"/>
      <c r="J733" s="46"/>
      <c r="K733" s="47"/>
      <c r="L733" s="48"/>
      <c r="M733" s="48"/>
      <c r="N733" s="48"/>
      <c r="S733" s="49"/>
    </row>
    <row r="734" customFormat="false" ht="15.75" hidden="false" customHeight="true" outlineLevel="0" collapsed="false">
      <c r="B734" s="40"/>
      <c r="C734" s="41"/>
      <c r="D734" s="42"/>
      <c r="E734" s="40"/>
      <c r="F734" s="43"/>
      <c r="G734" s="44"/>
      <c r="H734" s="45"/>
      <c r="I734" s="45"/>
      <c r="J734" s="46"/>
      <c r="K734" s="47"/>
      <c r="L734" s="48"/>
      <c r="M734" s="48"/>
      <c r="N734" s="48"/>
      <c r="S734" s="49"/>
    </row>
    <row r="735" customFormat="false" ht="15.75" hidden="false" customHeight="true" outlineLevel="0" collapsed="false">
      <c r="B735" s="40"/>
      <c r="C735" s="41"/>
      <c r="D735" s="42"/>
      <c r="E735" s="40"/>
      <c r="F735" s="43"/>
      <c r="G735" s="44"/>
      <c r="H735" s="45"/>
      <c r="I735" s="45"/>
      <c r="J735" s="46"/>
      <c r="K735" s="47"/>
      <c r="L735" s="48"/>
      <c r="M735" s="48"/>
      <c r="N735" s="48"/>
      <c r="S735" s="49"/>
    </row>
    <row r="736" customFormat="false" ht="15.75" hidden="false" customHeight="true" outlineLevel="0" collapsed="false">
      <c r="B736" s="40"/>
      <c r="C736" s="41"/>
      <c r="D736" s="42"/>
      <c r="E736" s="40"/>
      <c r="F736" s="43"/>
      <c r="G736" s="44"/>
      <c r="H736" s="45"/>
      <c r="I736" s="45"/>
      <c r="J736" s="46"/>
      <c r="K736" s="47"/>
      <c r="L736" s="48"/>
      <c r="M736" s="48"/>
      <c r="N736" s="48"/>
      <c r="S736" s="49"/>
    </row>
    <row r="737" customFormat="false" ht="15.75" hidden="false" customHeight="true" outlineLevel="0" collapsed="false">
      <c r="B737" s="40"/>
      <c r="C737" s="41"/>
      <c r="D737" s="42"/>
      <c r="E737" s="40"/>
      <c r="F737" s="43"/>
      <c r="G737" s="44"/>
      <c r="H737" s="45"/>
      <c r="I737" s="45"/>
      <c r="J737" s="46"/>
      <c r="K737" s="47"/>
      <c r="L737" s="48"/>
      <c r="M737" s="48"/>
      <c r="N737" s="48"/>
      <c r="S737" s="49"/>
    </row>
    <row r="738" customFormat="false" ht="15.75" hidden="false" customHeight="true" outlineLevel="0" collapsed="false">
      <c r="B738" s="40"/>
      <c r="C738" s="41"/>
      <c r="D738" s="42"/>
      <c r="E738" s="40"/>
      <c r="F738" s="43"/>
      <c r="G738" s="44"/>
      <c r="H738" s="45"/>
      <c r="I738" s="45"/>
      <c r="J738" s="46"/>
      <c r="K738" s="47"/>
      <c r="L738" s="48"/>
      <c r="M738" s="48"/>
      <c r="N738" s="48"/>
      <c r="S738" s="49"/>
    </row>
    <row r="739" customFormat="false" ht="15.75" hidden="false" customHeight="true" outlineLevel="0" collapsed="false">
      <c r="B739" s="40"/>
      <c r="C739" s="41"/>
      <c r="D739" s="42"/>
      <c r="E739" s="40"/>
      <c r="F739" s="43"/>
      <c r="G739" s="44"/>
      <c r="H739" s="45"/>
      <c r="I739" s="45"/>
      <c r="J739" s="46"/>
      <c r="K739" s="47"/>
      <c r="L739" s="48"/>
      <c r="M739" s="48"/>
      <c r="N739" s="48"/>
      <c r="S739" s="49"/>
    </row>
    <row r="740" customFormat="false" ht="15.75" hidden="false" customHeight="true" outlineLevel="0" collapsed="false">
      <c r="B740" s="40"/>
      <c r="C740" s="41"/>
      <c r="D740" s="42"/>
      <c r="E740" s="40"/>
      <c r="F740" s="43"/>
      <c r="G740" s="44"/>
      <c r="H740" s="45"/>
      <c r="I740" s="45"/>
      <c r="J740" s="46"/>
      <c r="K740" s="47"/>
      <c r="L740" s="48"/>
      <c r="M740" s="48"/>
      <c r="N740" s="48"/>
      <c r="S740" s="49"/>
    </row>
    <row r="741" customFormat="false" ht="15.75" hidden="false" customHeight="true" outlineLevel="0" collapsed="false">
      <c r="B741" s="40"/>
      <c r="C741" s="41"/>
      <c r="D741" s="42"/>
      <c r="E741" s="40"/>
      <c r="F741" s="43"/>
      <c r="G741" s="44"/>
      <c r="H741" s="45"/>
      <c r="I741" s="45"/>
      <c r="J741" s="46"/>
      <c r="K741" s="47"/>
      <c r="L741" s="48"/>
      <c r="M741" s="48"/>
      <c r="N741" s="48"/>
      <c r="S741" s="49"/>
    </row>
    <row r="742" customFormat="false" ht="15.75" hidden="false" customHeight="true" outlineLevel="0" collapsed="false">
      <c r="B742" s="40"/>
      <c r="C742" s="41"/>
      <c r="D742" s="42"/>
      <c r="E742" s="40"/>
      <c r="F742" s="43"/>
      <c r="G742" s="44"/>
      <c r="H742" s="45"/>
      <c r="I742" s="45"/>
      <c r="J742" s="46"/>
      <c r="K742" s="47"/>
      <c r="L742" s="48"/>
      <c r="M742" s="48"/>
      <c r="N742" s="48"/>
      <c r="S742" s="49"/>
    </row>
    <row r="743" customFormat="false" ht="15.75" hidden="false" customHeight="true" outlineLevel="0" collapsed="false">
      <c r="B743" s="40"/>
      <c r="C743" s="41"/>
      <c r="D743" s="42"/>
      <c r="E743" s="40"/>
      <c r="F743" s="43"/>
      <c r="G743" s="44"/>
      <c r="H743" s="45"/>
      <c r="I743" s="45"/>
      <c r="J743" s="46"/>
      <c r="K743" s="47"/>
      <c r="L743" s="48"/>
      <c r="M743" s="48"/>
      <c r="N743" s="48"/>
      <c r="S743" s="49"/>
    </row>
    <row r="744" customFormat="false" ht="15.75" hidden="false" customHeight="true" outlineLevel="0" collapsed="false">
      <c r="B744" s="40"/>
      <c r="C744" s="41"/>
      <c r="D744" s="42"/>
      <c r="E744" s="40"/>
      <c r="F744" s="43"/>
      <c r="G744" s="44"/>
      <c r="H744" s="45"/>
      <c r="I744" s="45"/>
      <c r="J744" s="46"/>
      <c r="K744" s="47"/>
      <c r="L744" s="48"/>
      <c r="M744" s="48"/>
      <c r="N744" s="48"/>
      <c r="S744" s="49"/>
    </row>
    <row r="745" customFormat="false" ht="15.75" hidden="false" customHeight="true" outlineLevel="0" collapsed="false">
      <c r="B745" s="40"/>
      <c r="C745" s="41"/>
      <c r="D745" s="42"/>
      <c r="E745" s="40"/>
      <c r="F745" s="43"/>
      <c r="G745" s="44"/>
      <c r="H745" s="45"/>
      <c r="I745" s="45"/>
      <c r="J745" s="46"/>
      <c r="K745" s="47"/>
      <c r="L745" s="48"/>
      <c r="M745" s="48"/>
      <c r="N745" s="48"/>
      <c r="S745" s="49"/>
    </row>
    <row r="746" customFormat="false" ht="15.75" hidden="false" customHeight="true" outlineLevel="0" collapsed="false">
      <c r="B746" s="40"/>
      <c r="C746" s="41"/>
      <c r="D746" s="42"/>
      <c r="E746" s="40"/>
      <c r="F746" s="43"/>
      <c r="G746" s="44"/>
      <c r="H746" s="45"/>
      <c r="I746" s="45"/>
      <c r="J746" s="46"/>
      <c r="K746" s="47"/>
      <c r="L746" s="48"/>
      <c r="M746" s="48"/>
      <c r="N746" s="48"/>
      <c r="S746" s="49"/>
    </row>
    <row r="747" customFormat="false" ht="15.75" hidden="false" customHeight="true" outlineLevel="0" collapsed="false">
      <c r="B747" s="40"/>
      <c r="C747" s="41"/>
      <c r="D747" s="42"/>
      <c r="E747" s="40"/>
      <c r="F747" s="43"/>
      <c r="G747" s="44"/>
      <c r="H747" s="45"/>
      <c r="I747" s="45"/>
      <c r="J747" s="46"/>
      <c r="K747" s="47"/>
      <c r="L747" s="48"/>
      <c r="M747" s="48"/>
      <c r="N747" s="48"/>
      <c r="S747" s="49"/>
    </row>
    <row r="748" customFormat="false" ht="15.75" hidden="false" customHeight="true" outlineLevel="0" collapsed="false">
      <c r="B748" s="40"/>
      <c r="C748" s="41"/>
      <c r="D748" s="42"/>
      <c r="E748" s="40"/>
      <c r="F748" s="43"/>
      <c r="G748" s="44"/>
      <c r="H748" s="45"/>
      <c r="I748" s="45"/>
      <c r="J748" s="46"/>
      <c r="K748" s="47"/>
      <c r="L748" s="48"/>
      <c r="M748" s="48"/>
      <c r="N748" s="48"/>
      <c r="S748" s="49"/>
    </row>
    <row r="749" customFormat="false" ht="15.75" hidden="false" customHeight="true" outlineLevel="0" collapsed="false">
      <c r="B749" s="40"/>
      <c r="C749" s="41"/>
      <c r="D749" s="42"/>
      <c r="E749" s="40"/>
      <c r="F749" s="43"/>
      <c r="G749" s="44"/>
      <c r="H749" s="45"/>
      <c r="I749" s="45"/>
      <c r="J749" s="46"/>
      <c r="K749" s="47"/>
      <c r="L749" s="48"/>
      <c r="M749" s="48"/>
      <c r="N749" s="48"/>
      <c r="S749" s="49"/>
    </row>
    <row r="750" customFormat="false" ht="15.75" hidden="false" customHeight="true" outlineLevel="0" collapsed="false">
      <c r="B750" s="40"/>
      <c r="C750" s="41"/>
      <c r="D750" s="42"/>
      <c r="E750" s="40"/>
      <c r="F750" s="43"/>
      <c r="G750" s="44"/>
      <c r="H750" s="45"/>
      <c r="I750" s="45"/>
      <c r="J750" s="46"/>
      <c r="K750" s="47"/>
      <c r="L750" s="48"/>
      <c r="M750" s="48"/>
      <c r="N750" s="48"/>
      <c r="S750" s="49"/>
    </row>
    <row r="751" customFormat="false" ht="15.75" hidden="false" customHeight="true" outlineLevel="0" collapsed="false">
      <c r="B751" s="40"/>
      <c r="C751" s="41"/>
      <c r="D751" s="42"/>
      <c r="E751" s="40"/>
      <c r="F751" s="43"/>
      <c r="G751" s="44"/>
      <c r="H751" s="45"/>
      <c r="I751" s="45"/>
      <c r="J751" s="46"/>
      <c r="K751" s="47"/>
      <c r="L751" s="48"/>
      <c r="M751" s="48"/>
      <c r="N751" s="48"/>
      <c r="S751" s="49"/>
    </row>
    <row r="752" customFormat="false" ht="15.75" hidden="false" customHeight="true" outlineLevel="0" collapsed="false">
      <c r="B752" s="40"/>
      <c r="C752" s="41"/>
      <c r="D752" s="42"/>
      <c r="E752" s="40"/>
      <c r="F752" s="43"/>
      <c r="G752" s="44"/>
      <c r="H752" s="45"/>
      <c r="I752" s="45"/>
      <c r="J752" s="46"/>
      <c r="K752" s="47"/>
      <c r="L752" s="48"/>
      <c r="M752" s="48"/>
      <c r="N752" s="48"/>
      <c r="S752" s="49"/>
    </row>
    <row r="753" customFormat="false" ht="15.75" hidden="false" customHeight="true" outlineLevel="0" collapsed="false">
      <c r="B753" s="40"/>
      <c r="C753" s="41"/>
      <c r="D753" s="42"/>
      <c r="E753" s="40"/>
      <c r="F753" s="43"/>
      <c r="G753" s="44"/>
      <c r="H753" s="45"/>
      <c r="I753" s="45"/>
      <c r="J753" s="46"/>
      <c r="K753" s="47"/>
      <c r="L753" s="48"/>
      <c r="M753" s="48"/>
      <c r="N753" s="48"/>
      <c r="S753" s="49"/>
    </row>
    <row r="754" customFormat="false" ht="15.75" hidden="false" customHeight="true" outlineLevel="0" collapsed="false">
      <c r="B754" s="40"/>
      <c r="C754" s="41"/>
      <c r="D754" s="42"/>
      <c r="E754" s="40"/>
      <c r="F754" s="43"/>
      <c r="G754" s="44"/>
      <c r="H754" s="45"/>
      <c r="I754" s="45"/>
      <c r="J754" s="46"/>
      <c r="K754" s="47"/>
      <c r="L754" s="48"/>
      <c r="M754" s="48"/>
      <c r="N754" s="48"/>
      <c r="S754" s="49"/>
    </row>
    <row r="755" customFormat="false" ht="15.75" hidden="false" customHeight="true" outlineLevel="0" collapsed="false">
      <c r="B755" s="40"/>
      <c r="C755" s="41"/>
      <c r="D755" s="42"/>
      <c r="E755" s="40"/>
      <c r="F755" s="43"/>
      <c r="G755" s="44"/>
      <c r="H755" s="45"/>
      <c r="I755" s="45"/>
      <c r="J755" s="46"/>
      <c r="K755" s="47"/>
      <c r="L755" s="48"/>
      <c r="M755" s="48"/>
      <c r="N755" s="48"/>
      <c r="S755" s="49"/>
    </row>
    <row r="756" customFormat="false" ht="15.75" hidden="false" customHeight="true" outlineLevel="0" collapsed="false">
      <c r="B756" s="40"/>
      <c r="C756" s="41"/>
      <c r="D756" s="42"/>
      <c r="E756" s="40"/>
      <c r="F756" s="43"/>
      <c r="G756" s="44"/>
      <c r="H756" s="45"/>
      <c r="I756" s="45"/>
      <c r="J756" s="46"/>
      <c r="K756" s="47"/>
      <c r="L756" s="48"/>
      <c r="M756" s="48"/>
      <c r="N756" s="48"/>
      <c r="S756" s="49"/>
    </row>
    <row r="757" customFormat="false" ht="15.75" hidden="false" customHeight="true" outlineLevel="0" collapsed="false">
      <c r="B757" s="40"/>
      <c r="C757" s="41"/>
      <c r="D757" s="42"/>
      <c r="E757" s="40"/>
      <c r="F757" s="43"/>
      <c r="G757" s="44"/>
      <c r="H757" s="45"/>
      <c r="I757" s="45"/>
      <c r="J757" s="46"/>
      <c r="K757" s="47"/>
      <c r="L757" s="48"/>
      <c r="M757" s="48"/>
      <c r="N757" s="48"/>
      <c r="S757" s="49"/>
    </row>
    <row r="758" customFormat="false" ht="15.75" hidden="false" customHeight="true" outlineLevel="0" collapsed="false">
      <c r="B758" s="40"/>
      <c r="C758" s="41"/>
      <c r="D758" s="42"/>
      <c r="E758" s="40"/>
      <c r="F758" s="43"/>
      <c r="G758" s="44"/>
      <c r="H758" s="45"/>
      <c r="I758" s="45"/>
      <c r="J758" s="46"/>
      <c r="K758" s="47"/>
      <c r="L758" s="48"/>
      <c r="M758" s="48"/>
      <c r="N758" s="48"/>
      <c r="S758" s="49"/>
    </row>
    <row r="759" customFormat="false" ht="15.75" hidden="false" customHeight="true" outlineLevel="0" collapsed="false">
      <c r="B759" s="40"/>
      <c r="C759" s="41"/>
      <c r="D759" s="42"/>
      <c r="E759" s="40"/>
      <c r="F759" s="43"/>
      <c r="G759" s="44"/>
      <c r="H759" s="45"/>
      <c r="I759" s="45"/>
      <c r="J759" s="46"/>
      <c r="K759" s="47"/>
      <c r="L759" s="48"/>
      <c r="M759" s="48"/>
      <c r="N759" s="48"/>
      <c r="S759" s="49"/>
    </row>
    <row r="760" customFormat="false" ht="15.75" hidden="false" customHeight="true" outlineLevel="0" collapsed="false">
      <c r="B760" s="40"/>
      <c r="C760" s="41"/>
      <c r="D760" s="42"/>
      <c r="E760" s="40"/>
      <c r="F760" s="43"/>
      <c r="G760" s="44"/>
      <c r="H760" s="45"/>
      <c r="I760" s="45"/>
      <c r="J760" s="46"/>
      <c r="K760" s="47"/>
      <c r="L760" s="48"/>
      <c r="M760" s="48"/>
      <c r="N760" s="48"/>
      <c r="S760" s="49"/>
    </row>
    <row r="761" customFormat="false" ht="15.75" hidden="false" customHeight="true" outlineLevel="0" collapsed="false">
      <c r="B761" s="40"/>
      <c r="C761" s="41"/>
      <c r="D761" s="42"/>
      <c r="E761" s="40"/>
      <c r="F761" s="43"/>
      <c r="G761" s="44"/>
      <c r="H761" s="45"/>
      <c r="I761" s="45"/>
      <c r="J761" s="46"/>
      <c r="K761" s="47"/>
      <c r="L761" s="48"/>
      <c r="M761" s="48"/>
      <c r="N761" s="48"/>
      <c r="S761" s="49"/>
    </row>
    <row r="762" customFormat="false" ht="15.75" hidden="false" customHeight="true" outlineLevel="0" collapsed="false">
      <c r="B762" s="40"/>
      <c r="C762" s="41"/>
      <c r="D762" s="42"/>
      <c r="E762" s="40"/>
      <c r="F762" s="43"/>
      <c r="G762" s="44"/>
      <c r="H762" s="45"/>
      <c r="I762" s="45"/>
      <c r="J762" s="46"/>
      <c r="K762" s="47"/>
      <c r="L762" s="48"/>
      <c r="M762" s="48"/>
      <c r="N762" s="48"/>
      <c r="S762" s="49"/>
    </row>
    <row r="763" customFormat="false" ht="15.75" hidden="false" customHeight="true" outlineLevel="0" collapsed="false">
      <c r="B763" s="40"/>
      <c r="C763" s="41"/>
      <c r="D763" s="42"/>
      <c r="E763" s="40"/>
      <c r="F763" s="43"/>
      <c r="G763" s="44"/>
      <c r="H763" s="45"/>
      <c r="I763" s="45"/>
      <c r="J763" s="46"/>
      <c r="K763" s="47"/>
      <c r="L763" s="48"/>
      <c r="M763" s="48"/>
      <c r="N763" s="48"/>
      <c r="S763" s="49"/>
    </row>
    <row r="764" customFormat="false" ht="15.75" hidden="false" customHeight="true" outlineLevel="0" collapsed="false">
      <c r="B764" s="40"/>
      <c r="C764" s="41"/>
      <c r="D764" s="42"/>
      <c r="E764" s="40"/>
      <c r="F764" s="43"/>
      <c r="G764" s="44"/>
      <c r="H764" s="45"/>
      <c r="I764" s="45"/>
      <c r="J764" s="46"/>
      <c r="K764" s="47"/>
      <c r="L764" s="48"/>
      <c r="M764" s="48"/>
      <c r="N764" s="48"/>
      <c r="S764" s="49"/>
    </row>
    <row r="765" customFormat="false" ht="15.75" hidden="false" customHeight="true" outlineLevel="0" collapsed="false">
      <c r="B765" s="40"/>
      <c r="C765" s="41"/>
      <c r="D765" s="42"/>
      <c r="E765" s="40"/>
      <c r="F765" s="43"/>
      <c r="G765" s="44"/>
      <c r="H765" s="45"/>
      <c r="I765" s="45"/>
      <c r="J765" s="46"/>
      <c r="K765" s="47"/>
      <c r="L765" s="48"/>
      <c r="M765" s="48"/>
      <c r="N765" s="48"/>
      <c r="S765" s="49"/>
    </row>
    <row r="766" customFormat="false" ht="15.75" hidden="false" customHeight="true" outlineLevel="0" collapsed="false">
      <c r="B766" s="40"/>
      <c r="C766" s="41"/>
      <c r="D766" s="42"/>
      <c r="E766" s="40"/>
      <c r="F766" s="43"/>
      <c r="G766" s="44"/>
      <c r="H766" s="45"/>
      <c r="I766" s="45"/>
      <c r="J766" s="46"/>
      <c r="K766" s="47"/>
      <c r="L766" s="48"/>
      <c r="M766" s="48"/>
      <c r="N766" s="48"/>
      <c r="S766" s="49"/>
    </row>
    <row r="767" customFormat="false" ht="15.75" hidden="false" customHeight="true" outlineLevel="0" collapsed="false">
      <c r="B767" s="40"/>
      <c r="C767" s="41"/>
      <c r="D767" s="42"/>
      <c r="E767" s="40"/>
      <c r="F767" s="43"/>
      <c r="G767" s="44"/>
      <c r="H767" s="45"/>
      <c r="I767" s="45"/>
      <c r="J767" s="46"/>
      <c r="K767" s="47"/>
      <c r="L767" s="48"/>
      <c r="M767" s="48"/>
      <c r="N767" s="48"/>
      <c r="S767" s="49"/>
    </row>
    <row r="768" customFormat="false" ht="15.75" hidden="false" customHeight="true" outlineLevel="0" collapsed="false">
      <c r="B768" s="40"/>
      <c r="C768" s="41"/>
      <c r="D768" s="42"/>
      <c r="E768" s="40"/>
      <c r="F768" s="43"/>
      <c r="G768" s="44"/>
      <c r="H768" s="45"/>
      <c r="I768" s="45"/>
      <c r="J768" s="46"/>
      <c r="K768" s="47"/>
      <c r="L768" s="48"/>
      <c r="M768" s="48"/>
      <c r="N768" s="48"/>
      <c r="S768" s="49"/>
    </row>
    <row r="769" customFormat="false" ht="15.75" hidden="false" customHeight="true" outlineLevel="0" collapsed="false">
      <c r="B769" s="40"/>
      <c r="C769" s="41"/>
      <c r="D769" s="42"/>
      <c r="E769" s="40"/>
      <c r="F769" s="43"/>
      <c r="G769" s="44"/>
      <c r="H769" s="45"/>
      <c r="I769" s="45"/>
      <c r="J769" s="46"/>
      <c r="K769" s="47"/>
      <c r="L769" s="48"/>
      <c r="M769" s="48"/>
      <c r="N769" s="48"/>
      <c r="S769" s="49"/>
    </row>
    <row r="770" customFormat="false" ht="15.75" hidden="false" customHeight="true" outlineLevel="0" collapsed="false">
      <c r="B770" s="40"/>
      <c r="C770" s="41"/>
      <c r="D770" s="42"/>
      <c r="E770" s="40"/>
      <c r="F770" s="43"/>
      <c r="G770" s="44"/>
      <c r="H770" s="45"/>
      <c r="I770" s="45"/>
      <c r="J770" s="46"/>
      <c r="K770" s="47"/>
      <c r="L770" s="48"/>
      <c r="M770" s="48"/>
      <c r="N770" s="48"/>
      <c r="S770" s="49"/>
    </row>
    <row r="771" customFormat="false" ht="15.75" hidden="false" customHeight="true" outlineLevel="0" collapsed="false">
      <c r="B771" s="40"/>
      <c r="C771" s="41"/>
      <c r="D771" s="42"/>
      <c r="E771" s="40"/>
      <c r="F771" s="43"/>
      <c r="G771" s="44"/>
      <c r="H771" s="45"/>
      <c r="I771" s="45"/>
      <c r="J771" s="46"/>
      <c r="K771" s="47"/>
      <c r="L771" s="48"/>
      <c r="M771" s="48"/>
      <c r="N771" s="48"/>
      <c r="S771" s="49"/>
    </row>
    <row r="772" customFormat="false" ht="15.75" hidden="false" customHeight="true" outlineLevel="0" collapsed="false">
      <c r="B772" s="40"/>
      <c r="C772" s="41"/>
      <c r="D772" s="42"/>
      <c r="E772" s="40"/>
      <c r="F772" s="43"/>
      <c r="G772" s="44"/>
      <c r="H772" s="45"/>
      <c r="I772" s="45"/>
      <c r="J772" s="46"/>
      <c r="K772" s="47"/>
      <c r="L772" s="48"/>
      <c r="M772" s="48"/>
      <c r="N772" s="48"/>
      <c r="S772" s="49"/>
    </row>
    <row r="773" customFormat="false" ht="15.75" hidden="false" customHeight="true" outlineLevel="0" collapsed="false">
      <c r="B773" s="40"/>
      <c r="C773" s="41"/>
      <c r="D773" s="42"/>
      <c r="E773" s="40"/>
      <c r="F773" s="43"/>
      <c r="G773" s="44"/>
      <c r="H773" s="45"/>
      <c r="I773" s="45"/>
      <c r="J773" s="46"/>
      <c r="K773" s="47"/>
      <c r="L773" s="48"/>
      <c r="M773" s="48"/>
      <c r="N773" s="48"/>
      <c r="S773" s="49"/>
    </row>
    <row r="774" customFormat="false" ht="15.75" hidden="false" customHeight="true" outlineLevel="0" collapsed="false">
      <c r="B774" s="40"/>
      <c r="C774" s="41"/>
      <c r="D774" s="42"/>
      <c r="E774" s="40"/>
      <c r="F774" s="43"/>
      <c r="G774" s="44"/>
      <c r="H774" s="45"/>
      <c r="I774" s="45"/>
      <c r="J774" s="46"/>
      <c r="K774" s="47"/>
      <c r="L774" s="48"/>
      <c r="M774" s="48"/>
      <c r="N774" s="48"/>
      <c r="S774" s="49"/>
    </row>
    <row r="775" customFormat="false" ht="15.75" hidden="false" customHeight="true" outlineLevel="0" collapsed="false">
      <c r="B775" s="40"/>
      <c r="C775" s="41"/>
      <c r="D775" s="42"/>
      <c r="E775" s="40"/>
      <c r="F775" s="43"/>
      <c r="G775" s="44"/>
      <c r="H775" s="45"/>
      <c r="I775" s="45"/>
      <c r="J775" s="46"/>
      <c r="K775" s="47"/>
      <c r="L775" s="48"/>
      <c r="M775" s="48"/>
      <c r="N775" s="48"/>
      <c r="S775" s="49"/>
    </row>
    <row r="776" customFormat="false" ht="15.75" hidden="false" customHeight="true" outlineLevel="0" collapsed="false">
      <c r="B776" s="40"/>
      <c r="C776" s="41"/>
      <c r="D776" s="42"/>
      <c r="E776" s="40"/>
      <c r="F776" s="43"/>
      <c r="G776" s="44"/>
      <c r="H776" s="45"/>
      <c r="I776" s="45"/>
      <c r="J776" s="46"/>
      <c r="K776" s="47"/>
      <c r="L776" s="48"/>
      <c r="M776" s="48"/>
      <c r="N776" s="48"/>
      <c r="S776" s="49"/>
    </row>
    <row r="777" customFormat="false" ht="15.75" hidden="false" customHeight="true" outlineLevel="0" collapsed="false">
      <c r="B777" s="40"/>
      <c r="C777" s="41"/>
      <c r="D777" s="42"/>
      <c r="E777" s="40"/>
      <c r="F777" s="43"/>
      <c r="G777" s="44"/>
      <c r="H777" s="45"/>
      <c r="I777" s="45"/>
      <c r="J777" s="46"/>
      <c r="K777" s="47"/>
      <c r="L777" s="48"/>
      <c r="M777" s="48"/>
      <c r="N777" s="48"/>
      <c r="S777" s="49"/>
    </row>
    <row r="778" customFormat="false" ht="15.75" hidden="false" customHeight="true" outlineLevel="0" collapsed="false">
      <c r="B778" s="40"/>
      <c r="C778" s="41"/>
      <c r="D778" s="42"/>
      <c r="E778" s="40"/>
      <c r="F778" s="43"/>
      <c r="G778" s="44"/>
      <c r="H778" s="45"/>
      <c r="I778" s="45"/>
      <c r="J778" s="46"/>
      <c r="K778" s="47"/>
      <c r="L778" s="48"/>
      <c r="M778" s="48"/>
      <c r="N778" s="48"/>
      <c r="S778" s="49"/>
    </row>
    <row r="779" customFormat="false" ht="15.75" hidden="false" customHeight="true" outlineLevel="0" collapsed="false">
      <c r="B779" s="40"/>
      <c r="C779" s="41"/>
      <c r="D779" s="42"/>
      <c r="E779" s="40"/>
      <c r="F779" s="43"/>
      <c r="G779" s="44"/>
      <c r="H779" s="45"/>
      <c r="I779" s="45"/>
      <c r="J779" s="46"/>
      <c r="K779" s="47"/>
      <c r="L779" s="48"/>
      <c r="M779" s="48"/>
      <c r="N779" s="48"/>
      <c r="S779" s="49"/>
    </row>
    <row r="780" customFormat="false" ht="15.75" hidden="false" customHeight="true" outlineLevel="0" collapsed="false">
      <c r="B780" s="40"/>
      <c r="C780" s="41"/>
      <c r="D780" s="42"/>
      <c r="E780" s="40"/>
      <c r="F780" s="43"/>
      <c r="G780" s="44"/>
      <c r="H780" s="45"/>
      <c r="I780" s="45"/>
      <c r="J780" s="46"/>
      <c r="K780" s="47"/>
      <c r="L780" s="48"/>
      <c r="M780" s="48"/>
      <c r="N780" s="48"/>
      <c r="S780" s="49"/>
    </row>
    <row r="781" customFormat="false" ht="15.75" hidden="false" customHeight="true" outlineLevel="0" collapsed="false">
      <c r="B781" s="40"/>
      <c r="C781" s="41"/>
      <c r="D781" s="42"/>
      <c r="E781" s="40"/>
      <c r="F781" s="43"/>
      <c r="G781" s="44"/>
      <c r="H781" s="45"/>
      <c r="I781" s="45"/>
      <c r="J781" s="46"/>
      <c r="K781" s="47"/>
      <c r="L781" s="48"/>
      <c r="M781" s="48"/>
      <c r="N781" s="48"/>
      <c r="S781" s="49"/>
    </row>
    <row r="782" customFormat="false" ht="15.75" hidden="false" customHeight="true" outlineLevel="0" collapsed="false">
      <c r="B782" s="40"/>
      <c r="C782" s="41"/>
      <c r="D782" s="42"/>
      <c r="E782" s="40"/>
      <c r="F782" s="43"/>
      <c r="G782" s="44"/>
      <c r="H782" s="45"/>
      <c r="I782" s="45"/>
      <c r="J782" s="46"/>
      <c r="K782" s="47"/>
      <c r="L782" s="48"/>
      <c r="M782" s="48"/>
      <c r="N782" s="48"/>
      <c r="S782" s="49"/>
    </row>
    <row r="783" customFormat="false" ht="15.75" hidden="false" customHeight="true" outlineLevel="0" collapsed="false">
      <c r="B783" s="40"/>
      <c r="C783" s="41"/>
      <c r="D783" s="42"/>
      <c r="E783" s="40"/>
      <c r="F783" s="43"/>
      <c r="G783" s="44"/>
      <c r="H783" s="45"/>
      <c r="I783" s="45"/>
      <c r="J783" s="46"/>
      <c r="K783" s="47"/>
      <c r="L783" s="48"/>
      <c r="M783" s="48"/>
      <c r="N783" s="48"/>
      <c r="S783" s="49"/>
    </row>
    <row r="784" customFormat="false" ht="15.75" hidden="false" customHeight="true" outlineLevel="0" collapsed="false">
      <c r="B784" s="40"/>
      <c r="C784" s="41"/>
      <c r="D784" s="42"/>
      <c r="E784" s="40"/>
      <c r="F784" s="43"/>
      <c r="G784" s="44"/>
      <c r="H784" s="45"/>
      <c r="I784" s="45"/>
      <c r="J784" s="46"/>
      <c r="K784" s="47"/>
      <c r="L784" s="48"/>
      <c r="M784" s="48"/>
      <c r="N784" s="48"/>
      <c r="S784" s="49"/>
    </row>
    <row r="785" customFormat="false" ht="15.75" hidden="false" customHeight="true" outlineLevel="0" collapsed="false">
      <c r="B785" s="40"/>
      <c r="C785" s="41"/>
      <c r="D785" s="42"/>
      <c r="E785" s="40"/>
      <c r="F785" s="43"/>
      <c r="G785" s="44"/>
      <c r="H785" s="45"/>
      <c r="I785" s="45"/>
      <c r="J785" s="46"/>
      <c r="K785" s="47"/>
      <c r="L785" s="48"/>
      <c r="M785" s="48"/>
      <c r="N785" s="48"/>
      <c r="S785" s="49"/>
    </row>
    <row r="786" customFormat="false" ht="15.75" hidden="false" customHeight="true" outlineLevel="0" collapsed="false">
      <c r="B786" s="40"/>
      <c r="C786" s="41"/>
      <c r="D786" s="42"/>
      <c r="E786" s="40"/>
      <c r="F786" s="43"/>
      <c r="G786" s="44"/>
      <c r="H786" s="45"/>
      <c r="I786" s="45"/>
      <c r="J786" s="46"/>
      <c r="K786" s="47"/>
      <c r="L786" s="48"/>
      <c r="M786" s="48"/>
      <c r="N786" s="48"/>
      <c r="S786" s="49"/>
    </row>
    <row r="787" customFormat="false" ht="15.75" hidden="false" customHeight="true" outlineLevel="0" collapsed="false">
      <c r="B787" s="40"/>
      <c r="C787" s="41"/>
      <c r="D787" s="42"/>
      <c r="E787" s="40"/>
      <c r="F787" s="43"/>
      <c r="G787" s="44"/>
      <c r="H787" s="45"/>
      <c r="I787" s="45"/>
      <c r="J787" s="46"/>
      <c r="K787" s="47"/>
      <c r="L787" s="48"/>
      <c r="M787" s="48"/>
      <c r="N787" s="48"/>
      <c r="S787" s="49"/>
    </row>
    <row r="788" customFormat="false" ht="15.75" hidden="false" customHeight="true" outlineLevel="0" collapsed="false">
      <c r="B788" s="40"/>
      <c r="C788" s="41"/>
      <c r="D788" s="42"/>
      <c r="E788" s="40"/>
      <c r="F788" s="43"/>
      <c r="G788" s="44"/>
      <c r="H788" s="45"/>
      <c r="I788" s="45"/>
      <c r="J788" s="46"/>
      <c r="K788" s="47"/>
      <c r="L788" s="48"/>
      <c r="M788" s="48"/>
      <c r="N788" s="48"/>
      <c r="S788" s="49"/>
    </row>
    <row r="789" customFormat="false" ht="15.75" hidden="false" customHeight="true" outlineLevel="0" collapsed="false">
      <c r="B789" s="40"/>
      <c r="C789" s="41"/>
      <c r="D789" s="42"/>
      <c r="E789" s="40"/>
      <c r="F789" s="43"/>
      <c r="G789" s="44"/>
      <c r="H789" s="45"/>
      <c r="I789" s="45"/>
      <c r="J789" s="46"/>
      <c r="K789" s="47"/>
      <c r="L789" s="48"/>
      <c r="M789" s="48"/>
      <c r="N789" s="48"/>
      <c r="S789" s="49"/>
    </row>
    <row r="790" customFormat="false" ht="15.75" hidden="false" customHeight="true" outlineLevel="0" collapsed="false">
      <c r="B790" s="40"/>
      <c r="C790" s="41"/>
      <c r="D790" s="42"/>
      <c r="E790" s="40"/>
      <c r="F790" s="43"/>
      <c r="G790" s="44"/>
      <c r="H790" s="45"/>
      <c r="I790" s="45"/>
      <c r="J790" s="46"/>
      <c r="K790" s="47"/>
      <c r="L790" s="48"/>
      <c r="M790" s="48"/>
      <c r="N790" s="48"/>
      <c r="S790" s="49"/>
    </row>
    <row r="791" customFormat="false" ht="15.75" hidden="false" customHeight="true" outlineLevel="0" collapsed="false">
      <c r="B791" s="40"/>
      <c r="C791" s="41"/>
      <c r="D791" s="42"/>
      <c r="E791" s="40"/>
      <c r="F791" s="43"/>
      <c r="G791" s="44"/>
      <c r="H791" s="45"/>
      <c r="I791" s="45"/>
      <c r="J791" s="46"/>
      <c r="K791" s="47"/>
      <c r="L791" s="48"/>
      <c r="M791" s="48"/>
      <c r="N791" s="48"/>
      <c r="S791" s="49"/>
    </row>
    <row r="792" customFormat="false" ht="15.75" hidden="false" customHeight="true" outlineLevel="0" collapsed="false">
      <c r="B792" s="40"/>
      <c r="C792" s="41"/>
      <c r="D792" s="42"/>
      <c r="E792" s="40"/>
      <c r="F792" s="43"/>
      <c r="G792" s="44"/>
      <c r="H792" s="45"/>
      <c r="I792" s="45"/>
      <c r="J792" s="46"/>
      <c r="K792" s="47"/>
      <c r="L792" s="48"/>
      <c r="M792" s="48"/>
      <c r="N792" s="48"/>
      <c r="S792" s="49"/>
    </row>
    <row r="793" customFormat="false" ht="15.75" hidden="false" customHeight="true" outlineLevel="0" collapsed="false">
      <c r="B793" s="40"/>
      <c r="C793" s="41"/>
      <c r="D793" s="42"/>
      <c r="E793" s="40"/>
      <c r="F793" s="43"/>
      <c r="G793" s="44"/>
      <c r="H793" s="45"/>
      <c r="I793" s="45"/>
      <c r="J793" s="46"/>
      <c r="K793" s="47"/>
      <c r="L793" s="48"/>
      <c r="M793" s="48"/>
      <c r="N793" s="48"/>
      <c r="S793" s="49"/>
    </row>
    <row r="794" customFormat="false" ht="15.75" hidden="false" customHeight="true" outlineLevel="0" collapsed="false">
      <c r="B794" s="40"/>
      <c r="C794" s="41"/>
      <c r="D794" s="42"/>
      <c r="E794" s="40"/>
      <c r="F794" s="43"/>
      <c r="G794" s="44"/>
      <c r="H794" s="45"/>
      <c r="I794" s="45"/>
      <c r="J794" s="46"/>
      <c r="K794" s="47"/>
      <c r="L794" s="48"/>
      <c r="M794" s="48"/>
      <c r="N794" s="48"/>
      <c r="S794" s="49"/>
    </row>
    <row r="795" customFormat="false" ht="15.75" hidden="false" customHeight="true" outlineLevel="0" collapsed="false">
      <c r="B795" s="40"/>
      <c r="C795" s="41"/>
      <c r="D795" s="42"/>
      <c r="E795" s="40"/>
      <c r="F795" s="43"/>
      <c r="G795" s="44"/>
      <c r="H795" s="45"/>
      <c r="I795" s="45"/>
      <c r="J795" s="46"/>
      <c r="K795" s="47"/>
      <c r="L795" s="48"/>
      <c r="M795" s="48"/>
      <c r="N795" s="48"/>
      <c r="S795" s="49"/>
    </row>
    <row r="796" customFormat="false" ht="15.75" hidden="false" customHeight="true" outlineLevel="0" collapsed="false">
      <c r="B796" s="40"/>
      <c r="C796" s="41"/>
      <c r="D796" s="42"/>
      <c r="E796" s="40"/>
      <c r="F796" s="43"/>
      <c r="G796" s="44"/>
      <c r="H796" s="45"/>
      <c r="I796" s="45"/>
      <c r="J796" s="46"/>
      <c r="K796" s="47"/>
      <c r="L796" s="48"/>
      <c r="M796" s="48"/>
      <c r="N796" s="48"/>
      <c r="S796" s="49"/>
    </row>
    <row r="797" customFormat="false" ht="15.75" hidden="false" customHeight="true" outlineLevel="0" collapsed="false">
      <c r="B797" s="40"/>
      <c r="C797" s="41"/>
      <c r="D797" s="42"/>
      <c r="E797" s="40"/>
      <c r="F797" s="43"/>
      <c r="G797" s="44"/>
      <c r="H797" s="45"/>
      <c r="I797" s="45"/>
      <c r="J797" s="46"/>
      <c r="K797" s="47"/>
      <c r="L797" s="48"/>
      <c r="M797" s="48"/>
      <c r="N797" s="48"/>
      <c r="S797" s="49"/>
    </row>
    <row r="798" customFormat="false" ht="15.75" hidden="false" customHeight="true" outlineLevel="0" collapsed="false">
      <c r="B798" s="40"/>
      <c r="C798" s="41"/>
      <c r="D798" s="42"/>
      <c r="E798" s="40"/>
      <c r="F798" s="43"/>
      <c r="G798" s="44"/>
      <c r="H798" s="45"/>
      <c r="I798" s="45"/>
      <c r="J798" s="46"/>
      <c r="K798" s="47"/>
      <c r="L798" s="48"/>
      <c r="M798" s="48"/>
      <c r="N798" s="48"/>
      <c r="S798" s="49"/>
    </row>
    <row r="799" customFormat="false" ht="15.75" hidden="false" customHeight="true" outlineLevel="0" collapsed="false">
      <c r="B799" s="40"/>
      <c r="C799" s="41"/>
      <c r="D799" s="42"/>
      <c r="E799" s="40"/>
      <c r="F799" s="43"/>
      <c r="G799" s="44"/>
      <c r="H799" s="45"/>
      <c r="I799" s="45"/>
      <c r="J799" s="46"/>
      <c r="K799" s="47"/>
      <c r="L799" s="48"/>
      <c r="M799" s="48"/>
      <c r="N799" s="48"/>
      <c r="S799" s="49"/>
    </row>
    <row r="800" customFormat="false" ht="15.75" hidden="false" customHeight="true" outlineLevel="0" collapsed="false">
      <c r="B800" s="40"/>
      <c r="C800" s="41"/>
      <c r="D800" s="42"/>
      <c r="E800" s="40"/>
      <c r="F800" s="43"/>
      <c r="G800" s="44"/>
      <c r="H800" s="45"/>
      <c r="I800" s="45"/>
      <c r="J800" s="46"/>
      <c r="K800" s="47"/>
      <c r="L800" s="48"/>
      <c r="M800" s="48"/>
      <c r="N800" s="48"/>
      <c r="S800" s="49"/>
    </row>
    <row r="801" customFormat="false" ht="15.75" hidden="false" customHeight="true" outlineLevel="0" collapsed="false">
      <c r="B801" s="40"/>
      <c r="C801" s="41"/>
      <c r="D801" s="42"/>
      <c r="E801" s="40"/>
      <c r="F801" s="43"/>
      <c r="G801" s="44"/>
      <c r="H801" s="45"/>
      <c r="I801" s="45"/>
      <c r="J801" s="46"/>
      <c r="K801" s="47"/>
      <c r="L801" s="48"/>
      <c r="M801" s="48"/>
      <c r="N801" s="48"/>
      <c r="S801" s="49"/>
    </row>
    <row r="802" customFormat="false" ht="15.75" hidden="false" customHeight="true" outlineLevel="0" collapsed="false">
      <c r="B802" s="40"/>
      <c r="C802" s="41"/>
      <c r="D802" s="42"/>
      <c r="E802" s="40"/>
      <c r="F802" s="43"/>
      <c r="G802" s="44"/>
      <c r="H802" s="45"/>
      <c r="I802" s="45"/>
      <c r="J802" s="46"/>
      <c r="K802" s="47"/>
      <c r="L802" s="48"/>
      <c r="M802" s="48"/>
      <c r="N802" s="48"/>
      <c r="S802" s="49"/>
    </row>
    <row r="803" customFormat="false" ht="15.75" hidden="false" customHeight="true" outlineLevel="0" collapsed="false">
      <c r="B803" s="40"/>
      <c r="C803" s="41"/>
      <c r="D803" s="42"/>
      <c r="E803" s="40"/>
      <c r="F803" s="43"/>
      <c r="G803" s="44"/>
      <c r="H803" s="45"/>
      <c r="I803" s="45"/>
      <c r="J803" s="46"/>
      <c r="K803" s="47"/>
      <c r="L803" s="48"/>
      <c r="M803" s="48"/>
      <c r="N803" s="48"/>
      <c r="S803" s="49"/>
    </row>
    <row r="804" customFormat="false" ht="15.75" hidden="false" customHeight="true" outlineLevel="0" collapsed="false">
      <c r="B804" s="40"/>
      <c r="C804" s="41"/>
      <c r="D804" s="42"/>
      <c r="E804" s="40"/>
      <c r="F804" s="43"/>
      <c r="G804" s="44"/>
      <c r="H804" s="45"/>
      <c r="I804" s="45"/>
      <c r="J804" s="46"/>
      <c r="K804" s="47"/>
      <c r="L804" s="48"/>
      <c r="M804" s="48"/>
      <c r="N804" s="48"/>
      <c r="S804" s="49"/>
    </row>
    <row r="805" customFormat="false" ht="15.75" hidden="false" customHeight="true" outlineLevel="0" collapsed="false">
      <c r="B805" s="40"/>
      <c r="C805" s="41"/>
      <c r="D805" s="42"/>
      <c r="E805" s="40"/>
      <c r="F805" s="43"/>
      <c r="G805" s="44"/>
      <c r="H805" s="45"/>
      <c r="I805" s="45"/>
      <c r="J805" s="46"/>
      <c r="K805" s="47"/>
      <c r="L805" s="48"/>
      <c r="M805" s="48"/>
      <c r="N805" s="48"/>
      <c r="S805" s="49"/>
    </row>
    <row r="806" customFormat="false" ht="15.75" hidden="false" customHeight="true" outlineLevel="0" collapsed="false">
      <c r="B806" s="40"/>
      <c r="C806" s="41"/>
      <c r="D806" s="42"/>
      <c r="E806" s="40"/>
      <c r="F806" s="43"/>
      <c r="G806" s="44"/>
      <c r="H806" s="45"/>
      <c r="I806" s="45"/>
      <c r="J806" s="46"/>
      <c r="K806" s="47"/>
      <c r="L806" s="48"/>
      <c r="M806" s="48"/>
      <c r="N806" s="48"/>
      <c r="S806" s="49"/>
    </row>
    <row r="807" customFormat="false" ht="15.75" hidden="false" customHeight="true" outlineLevel="0" collapsed="false">
      <c r="B807" s="40"/>
      <c r="C807" s="41"/>
      <c r="D807" s="42"/>
      <c r="E807" s="40"/>
      <c r="F807" s="43"/>
      <c r="G807" s="44"/>
      <c r="H807" s="45"/>
      <c r="I807" s="45"/>
      <c r="J807" s="46"/>
      <c r="K807" s="47"/>
      <c r="L807" s="48"/>
      <c r="M807" s="48"/>
      <c r="N807" s="48"/>
      <c r="S807" s="49"/>
    </row>
    <row r="808" customFormat="false" ht="15.75" hidden="false" customHeight="true" outlineLevel="0" collapsed="false">
      <c r="B808" s="40"/>
      <c r="C808" s="41"/>
      <c r="D808" s="42"/>
      <c r="E808" s="40"/>
      <c r="F808" s="43"/>
      <c r="G808" s="44"/>
      <c r="H808" s="45"/>
      <c r="I808" s="45"/>
      <c r="J808" s="46"/>
      <c r="K808" s="47"/>
      <c r="L808" s="48"/>
      <c r="M808" s="48"/>
      <c r="N808" s="48"/>
      <c r="S808" s="49"/>
    </row>
    <row r="809" customFormat="false" ht="15.75" hidden="false" customHeight="true" outlineLevel="0" collapsed="false">
      <c r="B809" s="40"/>
      <c r="C809" s="41"/>
      <c r="D809" s="42"/>
      <c r="E809" s="40"/>
      <c r="F809" s="43"/>
      <c r="G809" s="44"/>
      <c r="H809" s="45"/>
      <c r="I809" s="45"/>
      <c r="J809" s="46"/>
      <c r="K809" s="47"/>
      <c r="L809" s="48"/>
      <c r="M809" s="48"/>
      <c r="N809" s="48"/>
      <c r="S809" s="49"/>
    </row>
    <row r="810" customFormat="false" ht="15.75" hidden="false" customHeight="true" outlineLevel="0" collapsed="false">
      <c r="B810" s="40"/>
      <c r="C810" s="41"/>
      <c r="D810" s="42"/>
      <c r="E810" s="40"/>
      <c r="F810" s="43"/>
      <c r="G810" s="44"/>
      <c r="H810" s="45"/>
      <c r="I810" s="45"/>
      <c r="J810" s="46"/>
      <c r="K810" s="47"/>
      <c r="L810" s="48"/>
      <c r="M810" s="48"/>
      <c r="N810" s="48"/>
      <c r="S810" s="49"/>
    </row>
    <row r="811" customFormat="false" ht="15.75" hidden="false" customHeight="true" outlineLevel="0" collapsed="false">
      <c r="B811" s="40"/>
      <c r="C811" s="41"/>
      <c r="D811" s="42"/>
      <c r="E811" s="40"/>
      <c r="F811" s="43"/>
      <c r="G811" s="44"/>
      <c r="H811" s="45"/>
      <c r="I811" s="45"/>
      <c r="J811" s="46"/>
      <c r="K811" s="47"/>
      <c r="L811" s="48"/>
      <c r="M811" s="48"/>
      <c r="N811" s="48"/>
      <c r="S811" s="49"/>
    </row>
    <row r="812" customFormat="false" ht="15.75" hidden="false" customHeight="true" outlineLevel="0" collapsed="false">
      <c r="B812" s="40"/>
      <c r="C812" s="41"/>
      <c r="D812" s="42"/>
      <c r="E812" s="40"/>
      <c r="F812" s="43"/>
      <c r="G812" s="44"/>
      <c r="H812" s="45"/>
      <c r="I812" s="45"/>
      <c r="J812" s="46"/>
      <c r="K812" s="47"/>
      <c r="L812" s="48"/>
      <c r="M812" s="48"/>
      <c r="N812" s="48"/>
      <c r="S812" s="49"/>
    </row>
    <row r="813" customFormat="false" ht="15.75" hidden="false" customHeight="true" outlineLevel="0" collapsed="false">
      <c r="B813" s="40"/>
      <c r="C813" s="41"/>
      <c r="D813" s="42"/>
      <c r="E813" s="40"/>
      <c r="F813" s="43"/>
      <c r="G813" s="44"/>
      <c r="H813" s="45"/>
      <c r="I813" s="45"/>
      <c r="J813" s="46"/>
      <c r="K813" s="47"/>
      <c r="L813" s="48"/>
      <c r="M813" s="48"/>
      <c r="N813" s="48"/>
      <c r="S813" s="49"/>
    </row>
    <row r="814" customFormat="false" ht="15.75" hidden="false" customHeight="true" outlineLevel="0" collapsed="false">
      <c r="B814" s="40"/>
      <c r="C814" s="41"/>
      <c r="D814" s="42"/>
      <c r="E814" s="40"/>
      <c r="F814" s="43"/>
      <c r="G814" s="44"/>
      <c r="H814" s="45"/>
      <c r="I814" s="45"/>
      <c r="J814" s="46"/>
      <c r="K814" s="47"/>
      <c r="L814" s="48"/>
      <c r="M814" s="48"/>
      <c r="N814" s="48"/>
      <c r="S814" s="49"/>
    </row>
    <row r="815" customFormat="false" ht="15.75" hidden="false" customHeight="true" outlineLevel="0" collapsed="false">
      <c r="B815" s="40"/>
      <c r="C815" s="41"/>
      <c r="D815" s="42"/>
      <c r="E815" s="40"/>
      <c r="F815" s="43"/>
      <c r="G815" s="44"/>
      <c r="H815" s="45"/>
      <c r="I815" s="45"/>
      <c r="J815" s="46"/>
      <c r="K815" s="47"/>
      <c r="L815" s="48"/>
      <c r="M815" s="48"/>
      <c r="N815" s="48"/>
      <c r="S815" s="49"/>
    </row>
    <row r="816" customFormat="false" ht="15.75" hidden="false" customHeight="true" outlineLevel="0" collapsed="false">
      <c r="B816" s="40"/>
      <c r="C816" s="41"/>
      <c r="D816" s="42"/>
      <c r="E816" s="40"/>
      <c r="F816" s="43"/>
      <c r="G816" s="44"/>
      <c r="H816" s="45"/>
      <c r="I816" s="45"/>
      <c r="J816" s="46"/>
      <c r="K816" s="47"/>
      <c r="L816" s="48"/>
      <c r="M816" s="48"/>
      <c r="N816" s="48"/>
      <c r="S816" s="49"/>
    </row>
    <row r="817" customFormat="false" ht="15.75" hidden="false" customHeight="true" outlineLevel="0" collapsed="false">
      <c r="B817" s="40"/>
      <c r="C817" s="41"/>
      <c r="D817" s="42"/>
      <c r="E817" s="40"/>
      <c r="F817" s="43"/>
      <c r="G817" s="44"/>
      <c r="H817" s="45"/>
      <c r="I817" s="45"/>
      <c r="J817" s="46"/>
      <c r="K817" s="47"/>
      <c r="L817" s="48"/>
      <c r="M817" s="48"/>
      <c r="N817" s="48"/>
      <c r="S817" s="49"/>
    </row>
    <row r="818" customFormat="false" ht="15.75" hidden="false" customHeight="true" outlineLevel="0" collapsed="false">
      <c r="B818" s="40"/>
      <c r="C818" s="41"/>
      <c r="D818" s="42"/>
      <c r="E818" s="40"/>
      <c r="F818" s="43"/>
      <c r="G818" s="44"/>
      <c r="H818" s="45"/>
      <c r="I818" s="45"/>
      <c r="J818" s="46"/>
      <c r="K818" s="47"/>
      <c r="L818" s="48"/>
      <c r="M818" s="48"/>
      <c r="N818" s="48"/>
      <c r="S818" s="49"/>
    </row>
    <row r="819" customFormat="false" ht="15.75" hidden="false" customHeight="true" outlineLevel="0" collapsed="false">
      <c r="B819" s="40"/>
      <c r="C819" s="41"/>
      <c r="D819" s="42"/>
      <c r="E819" s="40"/>
      <c r="F819" s="43"/>
      <c r="G819" s="44"/>
      <c r="H819" s="45"/>
      <c r="I819" s="45"/>
      <c r="J819" s="46"/>
      <c r="K819" s="47"/>
      <c r="L819" s="48"/>
      <c r="M819" s="48"/>
      <c r="N819" s="48"/>
      <c r="S819" s="49"/>
    </row>
    <row r="820" customFormat="false" ht="15.75" hidden="false" customHeight="true" outlineLevel="0" collapsed="false">
      <c r="B820" s="40"/>
      <c r="C820" s="41"/>
      <c r="D820" s="42"/>
      <c r="E820" s="40"/>
      <c r="F820" s="43"/>
      <c r="G820" s="44"/>
      <c r="H820" s="45"/>
      <c r="I820" s="45"/>
      <c r="J820" s="46"/>
      <c r="K820" s="47"/>
      <c r="L820" s="48"/>
      <c r="M820" s="48"/>
      <c r="N820" s="48"/>
      <c r="S820" s="49"/>
    </row>
    <row r="821" customFormat="false" ht="15.75" hidden="false" customHeight="true" outlineLevel="0" collapsed="false">
      <c r="B821" s="40"/>
      <c r="C821" s="41"/>
      <c r="D821" s="42"/>
      <c r="E821" s="40"/>
      <c r="F821" s="43"/>
      <c r="G821" s="44"/>
      <c r="H821" s="45"/>
      <c r="I821" s="45"/>
      <c r="J821" s="46"/>
      <c r="K821" s="47"/>
      <c r="L821" s="48"/>
      <c r="M821" s="48"/>
      <c r="N821" s="48"/>
      <c r="S821" s="49"/>
    </row>
    <row r="822" customFormat="false" ht="15.75" hidden="false" customHeight="true" outlineLevel="0" collapsed="false">
      <c r="B822" s="40"/>
      <c r="C822" s="41"/>
      <c r="D822" s="42"/>
      <c r="E822" s="40"/>
      <c r="F822" s="43"/>
      <c r="G822" s="44"/>
      <c r="H822" s="45"/>
      <c r="I822" s="45"/>
      <c r="J822" s="46"/>
      <c r="K822" s="47"/>
      <c r="L822" s="48"/>
      <c r="M822" s="48"/>
      <c r="N822" s="48"/>
      <c r="S822" s="49"/>
    </row>
    <row r="823" customFormat="false" ht="15.75" hidden="false" customHeight="true" outlineLevel="0" collapsed="false">
      <c r="B823" s="40"/>
      <c r="C823" s="41"/>
      <c r="D823" s="42"/>
      <c r="E823" s="40"/>
      <c r="F823" s="43"/>
      <c r="G823" s="44"/>
      <c r="H823" s="45"/>
      <c r="I823" s="45"/>
      <c r="J823" s="46"/>
      <c r="K823" s="47"/>
      <c r="L823" s="48"/>
      <c r="M823" s="48"/>
      <c r="N823" s="48"/>
      <c r="S823" s="49"/>
    </row>
    <row r="824" customFormat="false" ht="15.75" hidden="false" customHeight="true" outlineLevel="0" collapsed="false">
      <c r="B824" s="40"/>
      <c r="C824" s="41"/>
      <c r="D824" s="42"/>
      <c r="E824" s="40"/>
      <c r="F824" s="43"/>
      <c r="G824" s="44"/>
      <c r="H824" s="45"/>
      <c r="I824" s="45"/>
      <c r="J824" s="46"/>
      <c r="K824" s="47"/>
      <c r="L824" s="48"/>
      <c r="M824" s="48"/>
      <c r="N824" s="48"/>
      <c r="S824" s="49"/>
    </row>
    <row r="825" customFormat="false" ht="15.75" hidden="false" customHeight="true" outlineLevel="0" collapsed="false">
      <c r="B825" s="40"/>
      <c r="C825" s="41"/>
      <c r="D825" s="42"/>
      <c r="E825" s="40"/>
      <c r="F825" s="43"/>
      <c r="G825" s="44"/>
      <c r="H825" s="45"/>
      <c r="I825" s="45"/>
      <c r="J825" s="46"/>
      <c r="K825" s="47"/>
      <c r="L825" s="48"/>
      <c r="M825" s="48"/>
      <c r="N825" s="48"/>
      <c r="S825" s="49"/>
    </row>
    <row r="826" customFormat="false" ht="15.75" hidden="false" customHeight="true" outlineLevel="0" collapsed="false">
      <c r="B826" s="40"/>
      <c r="C826" s="41"/>
      <c r="D826" s="42"/>
      <c r="E826" s="40"/>
      <c r="F826" s="43"/>
      <c r="G826" s="44"/>
      <c r="H826" s="45"/>
      <c r="I826" s="45"/>
      <c r="J826" s="46"/>
      <c r="K826" s="47"/>
      <c r="L826" s="48"/>
      <c r="M826" s="48"/>
      <c r="N826" s="48"/>
      <c r="S826" s="49"/>
    </row>
    <row r="827" customFormat="false" ht="15.75" hidden="false" customHeight="true" outlineLevel="0" collapsed="false">
      <c r="B827" s="40"/>
      <c r="C827" s="41"/>
      <c r="D827" s="42"/>
      <c r="E827" s="40"/>
      <c r="F827" s="43"/>
      <c r="G827" s="44"/>
      <c r="H827" s="45"/>
      <c r="I827" s="45"/>
      <c r="J827" s="46"/>
      <c r="K827" s="47"/>
      <c r="L827" s="48"/>
      <c r="M827" s="48"/>
      <c r="N827" s="48"/>
      <c r="S827" s="49"/>
    </row>
    <row r="828" customFormat="false" ht="15.75" hidden="false" customHeight="true" outlineLevel="0" collapsed="false">
      <c r="B828" s="40"/>
      <c r="C828" s="41"/>
      <c r="D828" s="42"/>
      <c r="E828" s="40"/>
      <c r="F828" s="43"/>
      <c r="G828" s="44"/>
      <c r="H828" s="45"/>
      <c r="I828" s="45"/>
      <c r="J828" s="46"/>
      <c r="K828" s="47"/>
      <c r="L828" s="48"/>
      <c r="M828" s="48"/>
      <c r="N828" s="48"/>
      <c r="S828" s="49"/>
    </row>
    <row r="829" customFormat="false" ht="15.75" hidden="false" customHeight="true" outlineLevel="0" collapsed="false">
      <c r="B829" s="40"/>
      <c r="C829" s="41"/>
      <c r="D829" s="42"/>
      <c r="E829" s="40"/>
      <c r="F829" s="43"/>
      <c r="G829" s="44"/>
      <c r="H829" s="45"/>
      <c r="I829" s="45"/>
      <c r="J829" s="46"/>
      <c r="K829" s="47"/>
      <c r="L829" s="48"/>
      <c r="M829" s="48"/>
      <c r="N829" s="48"/>
      <c r="S829" s="49"/>
    </row>
    <row r="830" customFormat="false" ht="15.75" hidden="false" customHeight="true" outlineLevel="0" collapsed="false">
      <c r="B830" s="40"/>
      <c r="C830" s="41"/>
      <c r="D830" s="42"/>
      <c r="E830" s="40"/>
      <c r="F830" s="43"/>
      <c r="G830" s="44"/>
      <c r="H830" s="45"/>
      <c r="I830" s="45"/>
      <c r="J830" s="46"/>
      <c r="K830" s="47"/>
      <c r="L830" s="48"/>
      <c r="M830" s="48"/>
      <c r="N830" s="48"/>
      <c r="S830" s="49"/>
    </row>
    <row r="831" customFormat="false" ht="15.75" hidden="false" customHeight="true" outlineLevel="0" collapsed="false">
      <c r="B831" s="40"/>
      <c r="C831" s="41"/>
      <c r="D831" s="42"/>
      <c r="E831" s="40"/>
      <c r="F831" s="43"/>
      <c r="G831" s="44"/>
      <c r="H831" s="45"/>
      <c r="I831" s="45"/>
      <c r="J831" s="46"/>
      <c r="K831" s="47"/>
      <c r="L831" s="48"/>
      <c r="M831" s="48"/>
      <c r="N831" s="48"/>
      <c r="S831" s="49"/>
    </row>
    <row r="832" customFormat="false" ht="15.75" hidden="false" customHeight="true" outlineLevel="0" collapsed="false">
      <c r="B832" s="40"/>
      <c r="C832" s="41"/>
      <c r="D832" s="42"/>
      <c r="E832" s="40"/>
      <c r="F832" s="43"/>
      <c r="G832" s="44"/>
      <c r="H832" s="45"/>
      <c r="I832" s="45"/>
      <c r="J832" s="46"/>
      <c r="K832" s="47"/>
      <c r="L832" s="48"/>
      <c r="M832" s="48"/>
      <c r="N832" s="48"/>
      <c r="S832" s="49"/>
    </row>
    <row r="833" customFormat="false" ht="15.75" hidden="false" customHeight="true" outlineLevel="0" collapsed="false">
      <c r="B833" s="40"/>
      <c r="C833" s="41"/>
      <c r="D833" s="42"/>
      <c r="E833" s="40"/>
      <c r="F833" s="43"/>
      <c r="G833" s="44"/>
      <c r="H833" s="45"/>
      <c r="I833" s="45"/>
      <c r="J833" s="46"/>
      <c r="K833" s="47"/>
      <c r="L833" s="48"/>
      <c r="M833" s="48"/>
      <c r="N833" s="48"/>
      <c r="S833" s="49"/>
    </row>
    <row r="834" customFormat="false" ht="15.75" hidden="false" customHeight="true" outlineLevel="0" collapsed="false">
      <c r="B834" s="40"/>
      <c r="C834" s="41"/>
      <c r="D834" s="42"/>
      <c r="E834" s="40"/>
      <c r="F834" s="43"/>
      <c r="G834" s="44"/>
      <c r="H834" s="45"/>
      <c r="I834" s="45"/>
      <c r="J834" s="46"/>
      <c r="K834" s="47"/>
      <c r="L834" s="48"/>
      <c r="M834" s="48"/>
      <c r="N834" s="48"/>
      <c r="S834" s="49"/>
    </row>
    <row r="835" customFormat="false" ht="15.75" hidden="false" customHeight="true" outlineLevel="0" collapsed="false">
      <c r="B835" s="40"/>
      <c r="C835" s="41"/>
      <c r="D835" s="42"/>
      <c r="E835" s="40"/>
      <c r="F835" s="43"/>
      <c r="G835" s="44"/>
      <c r="H835" s="45"/>
      <c r="I835" s="45"/>
      <c r="J835" s="46"/>
      <c r="K835" s="47"/>
      <c r="L835" s="48"/>
      <c r="M835" s="48"/>
      <c r="N835" s="48"/>
      <c r="S835" s="49"/>
    </row>
    <row r="836" customFormat="false" ht="15.75" hidden="false" customHeight="true" outlineLevel="0" collapsed="false">
      <c r="B836" s="40"/>
      <c r="C836" s="41"/>
      <c r="D836" s="42"/>
      <c r="E836" s="40"/>
      <c r="F836" s="43"/>
      <c r="G836" s="44"/>
      <c r="H836" s="45"/>
      <c r="I836" s="45"/>
      <c r="J836" s="46"/>
      <c r="K836" s="47"/>
      <c r="L836" s="48"/>
      <c r="M836" s="48"/>
      <c r="N836" s="48"/>
      <c r="S836" s="49"/>
    </row>
    <row r="837" customFormat="false" ht="15.75" hidden="false" customHeight="true" outlineLevel="0" collapsed="false">
      <c r="B837" s="40"/>
      <c r="C837" s="41"/>
      <c r="D837" s="42"/>
      <c r="E837" s="40"/>
      <c r="F837" s="43"/>
      <c r="G837" s="44"/>
      <c r="H837" s="45"/>
      <c r="I837" s="45"/>
      <c r="J837" s="46"/>
      <c r="K837" s="47"/>
      <c r="L837" s="48"/>
      <c r="M837" s="48"/>
      <c r="N837" s="48"/>
      <c r="S837" s="49"/>
    </row>
    <row r="838" customFormat="false" ht="15.75" hidden="false" customHeight="true" outlineLevel="0" collapsed="false">
      <c r="B838" s="40"/>
      <c r="C838" s="41"/>
      <c r="D838" s="42"/>
      <c r="E838" s="40"/>
      <c r="F838" s="43"/>
      <c r="G838" s="44"/>
      <c r="H838" s="45"/>
      <c r="I838" s="45"/>
      <c r="J838" s="46"/>
      <c r="K838" s="47"/>
      <c r="L838" s="48"/>
      <c r="M838" s="48"/>
      <c r="N838" s="48"/>
      <c r="S838" s="49"/>
    </row>
    <row r="839" customFormat="false" ht="15.75" hidden="false" customHeight="true" outlineLevel="0" collapsed="false">
      <c r="B839" s="40"/>
      <c r="C839" s="41"/>
      <c r="D839" s="42"/>
      <c r="E839" s="40"/>
      <c r="F839" s="43"/>
      <c r="G839" s="44"/>
      <c r="H839" s="45"/>
      <c r="I839" s="45"/>
      <c r="J839" s="46"/>
      <c r="K839" s="47"/>
      <c r="L839" s="48"/>
      <c r="M839" s="48"/>
      <c r="N839" s="48"/>
      <c r="S839" s="49"/>
    </row>
    <row r="840" customFormat="false" ht="15.75" hidden="false" customHeight="true" outlineLevel="0" collapsed="false">
      <c r="B840" s="40"/>
      <c r="C840" s="41"/>
      <c r="D840" s="42"/>
      <c r="E840" s="40"/>
      <c r="F840" s="43"/>
      <c r="G840" s="44"/>
      <c r="H840" s="45"/>
      <c r="I840" s="45"/>
      <c r="J840" s="46"/>
      <c r="K840" s="47"/>
      <c r="L840" s="48"/>
      <c r="M840" s="48"/>
      <c r="N840" s="48"/>
      <c r="S840" s="49"/>
    </row>
    <row r="841" customFormat="false" ht="15.75" hidden="false" customHeight="true" outlineLevel="0" collapsed="false">
      <c r="B841" s="40"/>
      <c r="C841" s="41"/>
      <c r="D841" s="42"/>
      <c r="E841" s="40"/>
      <c r="F841" s="43"/>
      <c r="G841" s="44"/>
      <c r="H841" s="45"/>
      <c r="I841" s="45"/>
      <c r="J841" s="46"/>
      <c r="K841" s="47"/>
      <c r="L841" s="48"/>
      <c r="M841" s="48"/>
      <c r="N841" s="48"/>
      <c r="S841" s="49"/>
    </row>
    <row r="842" customFormat="false" ht="15.75" hidden="false" customHeight="true" outlineLevel="0" collapsed="false">
      <c r="B842" s="40"/>
      <c r="C842" s="41"/>
      <c r="D842" s="42"/>
      <c r="E842" s="40"/>
      <c r="F842" s="43"/>
      <c r="G842" s="44"/>
      <c r="H842" s="45"/>
      <c r="I842" s="45"/>
      <c r="J842" s="46"/>
      <c r="K842" s="47"/>
      <c r="L842" s="48"/>
      <c r="M842" s="48"/>
      <c r="N842" s="48"/>
      <c r="S842" s="49"/>
    </row>
    <row r="843" customFormat="false" ht="15.75" hidden="false" customHeight="true" outlineLevel="0" collapsed="false">
      <c r="B843" s="40"/>
      <c r="C843" s="41"/>
      <c r="D843" s="42"/>
      <c r="E843" s="40"/>
      <c r="F843" s="43"/>
      <c r="G843" s="44"/>
      <c r="H843" s="45"/>
      <c r="I843" s="45"/>
      <c r="J843" s="46"/>
      <c r="K843" s="47"/>
      <c r="L843" s="48"/>
      <c r="M843" s="48"/>
      <c r="N843" s="48"/>
      <c r="S843" s="49"/>
    </row>
    <row r="844" customFormat="false" ht="15.75" hidden="false" customHeight="true" outlineLevel="0" collapsed="false">
      <c r="B844" s="40"/>
      <c r="C844" s="41"/>
      <c r="D844" s="42"/>
      <c r="E844" s="40"/>
      <c r="F844" s="43"/>
      <c r="G844" s="44"/>
      <c r="H844" s="45"/>
      <c r="I844" s="45"/>
      <c r="J844" s="46"/>
      <c r="K844" s="47"/>
      <c r="L844" s="48"/>
      <c r="M844" s="48"/>
      <c r="N844" s="48"/>
      <c r="S844" s="49"/>
    </row>
    <row r="845" customFormat="false" ht="15.75" hidden="false" customHeight="true" outlineLevel="0" collapsed="false">
      <c r="B845" s="40"/>
      <c r="C845" s="41"/>
      <c r="D845" s="42"/>
      <c r="E845" s="40"/>
      <c r="F845" s="43"/>
      <c r="G845" s="44"/>
      <c r="H845" s="45"/>
      <c r="I845" s="45"/>
      <c r="J845" s="46"/>
      <c r="K845" s="47"/>
      <c r="L845" s="48"/>
      <c r="M845" s="48"/>
      <c r="N845" s="48"/>
      <c r="S845" s="49"/>
    </row>
    <row r="846" customFormat="false" ht="15.75" hidden="false" customHeight="true" outlineLevel="0" collapsed="false">
      <c r="B846" s="40"/>
      <c r="C846" s="41"/>
      <c r="D846" s="42"/>
      <c r="E846" s="40"/>
      <c r="F846" s="43"/>
      <c r="G846" s="44"/>
      <c r="H846" s="45"/>
      <c r="I846" s="45"/>
      <c r="J846" s="46"/>
      <c r="K846" s="47"/>
      <c r="L846" s="48"/>
      <c r="M846" s="48"/>
      <c r="N846" s="48"/>
      <c r="S846" s="49"/>
    </row>
    <row r="847" customFormat="false" ht="15.75" hidden="false" customHeight="true" outlineLevel="0" collapsed="false">
      <c r="B847" s="40"/>
      <c r="C847" s="41"/>
      <c r="D847" s="42"/>
      <c r="E847" s="40"/>
      <c r="F847" s="43"/>
      <c r="G847" s="44"/>
      <c r="H847" s="45"/>
      <c r="I847" s="45"/>
      <c r="J847" s="46"/>
      <c r="K847" s="47"/>
      <c r="L847" s="48"/>
      <c r="M847" s="48"/>
      <c r="N847" s="48"/>
      <c r="S847" s="49"/>
    </row>
    <row r="848" customFormat="false" ht="15.75" hidden="false" customHeight="true" outlineLevel="0" collapsed="false">
      <c r="B848" s="40"/>
      <c r="C848" s="41"/>
      <c r="D848" s="42"/>
      <c r="E848" s="40"/>
      <c r="F848" s="43"/>
      <c r="G848" s="44"/>
      <c r="H848" s="45"/>
      <c r="I848" s="45"/>
      <c r="J848" s="46"/>
      <c r="K848" s="47"/>
      <c r="L848" s="48"/>
      <c r="M848" s="48"/>
      <c r="N848" s="48"/>
      <c r="S848" s="49"/>
    </row>
    <row r="849" customFormat="false" ht="15.75" hidden="false" customHeight="true" outlineLevel="0" collapsed="false">
      <c r="B849" s="40"/>
      <c r="C849" s="41"/>
      <c r="D849" s="42"/>
      <c r="E849" s="40"/>
      <c r="F849" s="43"/>
      <c r="G849" s="44"/>
      <c r="H849" s="45"/>
      <c r="I849" s="45"/>
      <c r="J849" s="46"/>
      <c r="K849" s="47"/>
      <c r="L849" s="48"/>
      <c r="M849" s="48"/>
      <c r="N849" s="48"/>
      <c r="S849" s="49"/>
    </row>
    <row r="850" customFormat="false" ht="15.75" hidden="false" customHeight="true" outlineLevel="0" collapsed="false">
      <c r="B850" s="40"/>
      <c r="C850" s="41"/>
      <c r="D850" s="42"/>
      <c r="E850" s="40"/>
      <c r="F850" s="43"/>
      <c r="G850" s="44"/>
      <c r="H850" s="45"/>
      <c r="I850" s="45"/>
      <c r="J850" s="46"/>
      <c r="K850" s="47"/>
      <c r="L850" s="48"/>
      <c r="M850" s="48"/>
      <c r="N850" s="48"/>
      <c r="S850" s="49"/>
    </row>
    <row r="851" customFormat="false" ht="15.75" hidden="false" customHeight="true" outlineLevel="0" collapsed="false">
      <c r="B851" s="40"/>
      <c r="C851" s="41"/>
      <c r="D851" s="42"/>
      <c r="E851" s="40"/>
      <c r="F851" s="43"/>
      <c r="G851" s="44"/>
      <c r="H851" s="45"/>
      <c r="I851" s="45"/>
      <c r="J851" s="46"/>
      <c r="K851" s="47"/>
      <c r="L851" s="48"/>
      <c r="M851" s="48"/>
      <c r="N851" s="48"/>
      <c r="S851" s="49"/>
    </row>
    <row r="852" customFormat="false" ht="15.75" hidden="false" customHeight="true" outlineLevel="0" collapsed="false">
      <c r="B852" s="40"/>
      <c r="C852" s="41"/>
      <c r="D852" s="42"/>
      <c r="E852" s="40"/>
      <c r="F852" s="43"/>
      <c r="G852" s="44"/>
      <c r="H852" s="45"/>
      <c r="I852" s="45"/>
      <c r="J852" s="46"/>
      <c r="K852" s="47"/>
      <c r="L852" s="48"/>
      <c r="M852" s="48"/>
      <c r="N852" s="48"/>
      <c r="S852" s="49"/>
    </row>
    <row r="853" customFormat="false" ht="15.75" hidden="false" customHeight="true" outlineLevel="0" collapsed="false">
      <c r="B853" s="40"/>
      <c r="C853" s="41"/>
      <c r="D853" s="42"/>
      <c r="E853" s="40"/>
      <c r="F853" s="43"/>
      <c r="G853" s="44"/>
      <c r="H853" s="45"/>
      <c r="I853" s="45"/>
      <c r="J853" s="46"/>
      <c r="K853" s="47"/>
      <c r="L853" s="48"/>
      <c r="M853" s="48"/>
      <c r="N853" s="48"/>
      <c r="S853" s="49"/>
    </row>
    <row r="854" customFormat="false" ht="15.75" hidden="false" customHeight="true" outlineLevel="0" collapsed="false">
      <c r="B854" s="40"/>
      <c r="C854" s="41"/>
      <c r="D854" s="42"/>
      <c r="E854" s="40"/>
      <c r="F854" s="43"/>
      <c r="G854" s="44"/>
      <c r="H854" s="45"/>
      <c r="I854" s="45"/>
      <c r="J854" s="46"/>
      <c r="K854" s="47"/>
      <c r="L854" s="48"/>
      <c r="M854" s="48"/>
      <c r="N854" s="48"/>
      <c r="S854" s="49"/>
    </row>
    <row r="855" customFormat="false" ht="15.75" hidden="false" customHeight="true" outlineLevel="0" collapsed="false">
      <c r="B855" s="40"/>
      <c r="C855" s="41"/>
      <c r="D855" s="42"/>
      <c r="E855" s="40"/>
      <c r="F855" s="43"/>
      <c r="G855" s="44"/>
      <c r="H855" s="45"/>
      <c r="I855" s="45"/>
      <c r="J855" s="46"/>
      <c r="K855" s="47"/>
      <c r="L855" s="48"/>
      <c r="M855" s="48"/>
      <c r="N855" s="48"/>
      <c r="S855" s="49"/>
    </row>
    <row r="856" customFormat="false" ht="15.75" hidden="false" customHeight="true" outlineLevel="0" collapsed="false">
      <c r="B856" s="40"/>
      <c r="C856" s="41"/>
      <c r="D856" s="42"/>
      <c r="E856" s="40"/>
      <c r="F856" s="43"/>
      <c r="G856" s="44"/>
      <c r="H856" s="45"/>
      <c r="I856" s="45"/>
      <c r="J856" s="46"/>
      <c r="K856" s="47"/>
      <c r="L856" s="48"/>
      <c r="M856" s="48"/>
      <c r="N856" s="48"/>
      <c r="S856" s="49"/>
    </row>
    <row r="857" customFormat="false" ht="15.75" hidden="false" customHeight="true" outlineLevel="0" collapsed="false">
      <c r="B857" s="40"/>
      <c r="C857" s="41"/>
      <c r="D857" s="42"/>
      <c r="E857" s="40"/>
      <c r="F857" s="43"/>
      <c r="G857" s="44"/>
      <c r="H857" s="45"/>
      <c r="I857" s="45"/>
      <c r="J857" s="46"/>
      <c r="K857" s="47"/>
      <c r="L857" s="48"/>
      <c r="M857" s="48"/>
      <c r="N857" s="48"/>
      <c r="S857" s="49"/>
    </row>
    <row r="858" customFormat="false" ht="15.75" hidden="false" customHeight="true" outlineLevel="0" collapsed="false">
      <c r="B858" s="40"/>
      <c r="C858" s="41"/>
      <c r="D858" s="42"/>
      <c r="E858" s="40"/>
      <c r="F858" s="43"/>
      <c r="G858" s="44"/>
      <c r="H858" s="45"/>
      <c r="I858" s="45"/>
      <c r="J858" s="46"/>
      <c r="K858" s="47"/>
      <c r="L858" s="48"/>
      <c r="M858" s="48"/>
      <c r="N858" s="48"/>
      <c r="S858" s="49"/>
    </row>
    <row r="859" customFormat="false" ht="15.75" hidden="false" customHeight="true" outlineLevel="0" collapsed="false">
      <c r="B859" s="40"/>
      <c r="C859" s="41"/>
      <c r="D859" s="42"/>
      <c r="E859" s="40"/>
      <c r="F859" s="43"/>
      <c r="G859" s="44"/>
      <c r="H859" s="45"/>
      <c r="I859" s="45"/>
      <c r="J859" s="46"/>
      <c r="K859" s="47"/>
      <c r="L859" s="48"/>
      <c r="M859" s="48"/>
      <c r="N859" s="48"/>
      <c r="S859" s="49"/>
    </row>
    <row r="860" customFormat="false" ht="15.75" hidden="false" customHeight="true" outlineLevel="0" collapsed="false">
      <c r="B860" s="40"/>
      <c r="C860" s="41"/>
      <c r="D860" s="42"/>
      <c r="E860" s="40"/>
      <c r="F860" s="43"/>
      <c r="G860" s="44"/>
      <c r="H860" s="45"/>
      <c r="I860" s="45"/>
      <c r="J860" s="46"/>
      <c r="K860" s="47"/>
      <c r="L860" s="48"/>
      <c r="M860" s="48"/>
      <c r="N860" s="48"/>
      <c r="S860" s="49"/>
    </row>
    <row r="861" customFormat="false" ht="15.75" hidden="false" customHeight="true" outlineLevel="0" collapsed="false">
      <c r="B861" s="40"/>
      <c r="C861" s="41"/>
      <c r="D861" s="42"/>
      <c r="E861" s="40"/>
      <c r="F861" s="43"/>
      <c r="G861" s="44"/>
      <c r="H861" s="45"/>
      <c r="I861" s="45"/>
      <c r="J861" s="46"/>
      <c r="K861" s="47"/>
      <c r="L861" s="48"/>
      <c r="M861" s="48"/>
      <c r="N861" s="48"/>
      <c r="S861" s="49"/>
    </row>
    <row r="862" customFormat="false" ht="15.75" hidden="false" customHeight="true" outlineLevel="0" collapsed="false">
      <c r="B862" s="40"/>
      <c r="C862" s="41"/>
      <c r="D862" s="42"/>
      <c r="E862" s="40"/>
      <c r="F862" s="43"/>
      <c r="G862" s="44"/>
      <c r="H862" s="45"/>
      <c r="I862" s="45"/>
      <c r="J862" s="46"/>
      <c r="K862" s="47"/>
      <c r="L862" s="48"/>
      <c r="M862" s="48"/>
      <c r="N862" s="48"/>
      <c r="S862" s="49"/>
    </row>
    <row r="863" customFormat="false" ht="15.75" hidden="false" customHeight="true" outlineLevel="0" collapsed="false">
      <c r="B863" s="40"/>
      <c r="C863" s="41"/>
      <c r="D863" s="42"/>
      <c r="E863" s="40"/>
      <c r="F863" s="43"/>
      <c r="G863" s="44"/>
      <c r="H863" s="45"/>
      <c r="I863" s="45"/>
      <c r="J863" s="46"/>
      <c r="K863" s="47"/>
      <c r="L863" s="48"/>
      <c r="M863" s="48"/>
      <c r="N863" s="48"/>
      <c r="S863" s="49"/>
    </row>
    <row r="864" customFormat="false" ht="15.75" hidden="false" customHeight="true" outlineLevel="0" collapsed="false">
      <c r="B864" s="40"/>
      <c r="C864" s="41"/>
      <c r="D864" s="42"/>
      <c r="E864" s="40"/>
      <c r="F864" s="43"/>
      <c r="G864" s="44"/>
      <c r="H864" s="45"/>
      <c r="I864" s="45"/>
      <c r="J864" s="46"/>
      <c r="K864" s="47"/>
      <c r="L864" s="48"/>
      <c r="M864" s="48"/>
      <c r="N864" s="48"/>
      <c r="S864" s="49"/>
    </row>
    <row r="865" customFormat="false" ht="15.75" hidden="false" customHeight="true" outlineLevel="0" collapsed="false">
      <c r="B865" s="40"/>
      <c r="C865" s="41"/>
      <c r="D865" s="42"/>
      <c r="E865" s="40"/>
      <c r="F865" s="43"/>
      <c r="G865" s="44"/>
      <c r="H865" s="45"/>
      <c r="I865" s="45"/>
      <c r="J865" s="46"/>
      <c r="K865" s="47"/>
      <c r="L865" s="48"/>
      <c r="M865" s="48"/>
      <c r="N865" s="48"/>
      <c r="S865" s="49"/>
    </row>
    <row r="866" customFormat="false" ht="15.75" hidden="false" customHeight="true" outlineLevel="0" collapsed="false">
      <c r="B866" s="40"/>
      <c r="C866" s="41"/>
      <c r="D866" s="42"/>
      <c r="E866" s="40"/>
      <c r="F866" s="43"/>
      <c r="G866" s="44"/>
      <c r="H866" s="45"/>
      <c r="I866" s="45"/>
      <c r="J866" s="46"/>
      <c r="K866" s="47"/>
      <c r="L866" s="48"/>
      <c r="M866" s="48"/>
      <c r="N866" s="48"/>
      <c r="S866" s="49"/>
    </row>
    <row r="867" customFormat="false" ht="15.75" hidden="false" customHeight="true" outlineLevel="0" collapsed="false">
      <c r="B867" s="40"/>
      <c r="C867" s="41"/>
      <c r="D867" s="42"/>
      <c r="E867" s="40"/>
      <c r="F867" s="43"/>
      <c r="G867" s="44"/>
      <c r="H867" s="45"/>
      <c r="I867" s="45"/>
      <c r="J867" s="46"/>
      <c r="K867" s="47"/>
      <c r="L867" s="48"/>
      <c r="M867" s="48"/>
      <c r="N867" s="48"/>
      <c r="S867" s="49"/>
    </row>
    <row r="868" customFormat="false" ht="15.75" hidden="false" customHeight="true" outlineLevel="0" collapsed="false">
      <c r="B868" s="40"/>
      <c r="C868" s="41"/>
      <c r="D868" s="42"/>
      <c r="E868" s="40"/>
      <c r="F868" s="43"/>
      <c r="G868" s="44"/>
      <c r="H868" s="45"/>
      <c r="I868" s="45"/>
      <c r="J868" s="46"/>
      <c r="K868" s="47"/>
      <c r="L868" s="48"/>
      <c r="M868" s="48"/>
      <c r="N868" s="48"/>
      <c r="S868" s="49"/>
    </row>
    <row r="869" customFormat="false" ht="15.75" hidden="false" customHeight="true" outlineLevel="0" collapsed="false">
      <c r="B869" s="40"/>
      <c r="C869" s="41"/>
      <c r="D869" s="42"/>
      <c r="E869" s="40"/>
      <c r="F869" s="43"/>
      <c r="G869" s="44"/>
      <c r="H869" s="45"/>
      <c r="I869" s="45"/>
      <c r="J869" s="46"/>
      <c r="K869" s="47"/>
      <c r="L869" s="48"/>
      <c r="M869" s="48"/>
      <c r="N869" s="48"/>
      <c r="S869" s="49"/>
    </row>
    <row r="870" customFormat="false" ht="15.75" hidden="false" customHeight="true" outlineLevel="0" collapsed="false">
      <c r="B870" s="40"/>
      <c r="C870" s="41"/>
      <c r="D870" s="42"/>
      <c r="E870" s="40"/>
      <c r="F870" s="43"/>
      <c r="G870" s="44"/>
      <c r="H870" s="45"/>
      <c r="I870" s="45"/>
      <c r="J870" s="46"/>
      <c r="K870" s="47"/>
      <c r="L870" s="48"/>
      <c r="M870" s="48"/>
      <c r="N870" s="48"/>
      <c r="S870" s="49"/>
    </row>
    <row r="871" customFormat="false" ht="15.75" hidden="false" customHeight="true" outlineLevel="0" collapsed="false">
      <c r="B871" s="40"/>
      <c r="C871" s="41"/>
      <c r="D871" s="42"/>
      <c r="E871" s="40"/>
      <c r="F871" s="43"/>
      <c r="G871" s="44"/>
      <c r="H871" s="45"/>
      <c r="I871" s="45"/>
      <c r="J871" s="46"/>
      <c r="K871" s="47"/>
      <c r="L871" s="48"/>
      <c r="M871" s="48"/>
      <c r="N871" s="48"/>
      <c r="S871" s="49"/>
    </row>
    <row r="872" customFormat="false" ht="15.75" hidden="false" customHeight="true" outlineLevel="0" collapsed="false">
      <c r="B872" s="40"/>
      <c r="C872" s="41"/>
      <c r="D872" s="42"/>
      <c r="E872" s="40"/>
      <c r="F872" s="43"/>
      <c r="G872" s="44"/>
      <c r="H872" s="45"/>
      <c r="I872" s="45"/>
      <c r="J872" s="46"/>
      <c r="K872" s="47"/>
      <c r="L872" s="48"/>
      <c r="M872" s="48"/>
      <c r="N872" s="48"/>
      <c r="S872" s="49"/>
    </row>
    <row r="873" customFormat="false" ht="15.75" hidden="false" customHeight="true" outlineLevel="0" collapsed="false">
      <c r="B873" s="40"/>
      <c r="C873" s="41"/>
      <c r="D873" s="42"/>
      <c r="E873" s="40"/>
      <c r="F873" s="43"/>
      <c r="G873" s="44"/>
      <c r="H873" s="45"/>
      <c r="I873" s="45"/>
      <c r="J873" s="46"/>
      <c r="K873" s="47"/>
      <c r="L873" s="48"/>
      <c r="M873" s="48"/>
      <c r="N873" s="48"/>
      <c r="S873" s="49"/>
    </row>
    <row r="874" customFormat="false" ht="15.75" hidden="false" customHeight="true" outlineLevel="0" collapsed="false">
      <c r="B874" s="40"/>
      <c r="C874" s="41"/>
      <c r="D874" s="42"/>
      <c r="E874" s="40"/>
      <c r="F874" s="43"/>
      <c r="G874" s="44"/>
      <c r="H874" s="45"/>
      <c r="I874" s="45"/>
      <c r="J874" s="46"/>
      <c r="K874" s="47"/>
      <c r="L874" s="48"/>
      <c r="M874" s="48"/>
      <c r="N874" s="48"/>
      <c r="S874" s="49"/>
    </row>
    <row r="875" customFormat="false" ht="15.75" hidden="false" customHeight="true" outlineLevel="0" collapsed="false">
      <c r="B875" s="40"/>
      <c r="C875" s="41"/>
      <c r="D875" s="42"/>
      <c r="E875" s="40"/>
      <c r="F875" s="43"/>
      <c r="G875" s="44"/>
      <c r="H875" s="45"/>
      <c r="I875" s="45"/>
      <c r="J875" s="46"/>
      <c r="K875" s="47"/>
      <c r="L875" s="48"/>
      <c r="M875" s="48"/>
      <c r="N875" s="48"/>
      <c r="S875" s="49"/>
    </row>
    <row r="876" customFormat="false" ht="15.75" hidden="false" customHeight="true" outlineLevel="0" collapsed="false">
      <c r="B876" s="40"/>
      <c r="C876" s="41"/>
      <c r="D876" s="42"/>
      <c r="E876" s="40"/>
      <c r="F876" s="43"/>
      <c r="G876" s="44"/>
      <c r="H876" s="45"/>
      <c r="I876" s="45"/>
      <c r="J876" s="46"/>
      <c r="K876" s="47"/>
      <c r="L876" s="48"/>
      <c r="M876" s="48"/>
      <c r="N876" s="48"/>
      <c r="S876" s="49"/>
    </row>
    <row r="877" customFormat="false" ht="15.75" hidden="false" customHeight="true" outlineLevel="0" collapsed="false">
      <c r="B877" s="40"/>
      <c r="C877" s="41"/>
      <c r="D877" s="42"/>
      <c r="E877" s="40"/>
      <c r="F877" s="43"/>
      <c r="G877" s="44"/>
      <c r="H877" s="45"/>
      <c r="I877" s="45"/>
      <c r="J877" s="46"/>
      <c r="K877" s="47"/>
      <c r="L877" s="48"/>
      <c r="M877" s="48"/>
      <c r="N877" s="48"/>
      <c r="S877" s="49"/>
    </row>
    <row r="878" customFormat="false" ht="15.75" hidden="false" customHeight="true" outlineLevel="0" collapsed="false">
      <c r="B878" s="40"/>
      <c r="C878" s="41"/>
      <c r="D878" s="42"/>
      <c r="E878" s="40"/>
      <c r="F878" s="43"/>
      <c r="G878" s="44"/>
      <c r="H878" s="45"/>
      <c r="I878" s="45"/>
      <c r="J878" s="46"/>
      <c r="K878" s="47"/>
      <c r="L878" s="48"/>
      <c r="M878" s="48"/>
      <c r="N878" s="48"/>
      <c r="S878" s="49"/>
    </row>
    <row r="879" customFormat="false" ht="15.75" hidden="false" customHeight="true" outlineLevel="0" collapsed="false">
      <c r="B879" s="40"/>
      <c r="C879" s="41"/>
      <c r="D879" s="42"/>
      <c r="E879" s="40"/>
      <c r="F879" s="43"/>
      <c r="G879" s="44"/>
      <c r="H879" s="45"/>
      <c r="I879" s="45"/>
      <c r="J879" s="46"/>
      <c r="K879" s="47"/>
      <c r="L879" s="48"/>
      <c r="M879" s="48"/>
      <c r="N879" s="48"/>
      <c r="S879" s="49"/>
    </row>
    <row r="880" customFormat="false" ht="15.75" hidden="false" customHeight="true" outlineLevel="0" collapsed="false">
      <c r="B880" s="40"/>
      <c r="C880" s="41"/>
      <c r="D880" s="42"/>
      <c r="E880" s="40"/>
      <c r="F880" s="43"/>
      <c r="G880" s="44"/>
      <c r="H880" s="45"/>
      <c r="I880" s="45"/>
      <c r="J880" s="46"/>
      <c r="K880" s="47"/>
      <c r="L880" s="48"/>
      <c r="M880" s="48"/>
      <c r="N880" s="48"/>
      <c r="S880" s="49"/>
    </row>
    <row r="881" customFormat="false" ht="15.75" hidden="false" customHeight="true" outlineLevel="0" collapsed="false">
      <c r="B881" s="40"/>
      <c r="C881" s="41"/>
      <c r="D881" s="42"/>
      <c r="E881" s="40"/>
      <c r="F881" s="43"/>
      <c r="G881" s="44"/>
      <c r="H881" s="45"/>
      <c r="I881" s="45"/>
      <c r="J881" s="46"/>
      <c r="K881" s="47"/>
      <c r="L881" s="48"/>
      <c r="M881" s="48"/>
      <c r="N881" s="48"/>
      <c r="S881" s="49"/>
    </row>
    <row r="882" customFormat="false" ht="15.75" hidden="false" customHeight="true" outlineLevel="0" collapsed="false">
      <c r="B882" s="40"/>
      <c r="C882" s="41"/>
      <c r="D882" s="42"/>
      <c r="E882" s="40"/>
      <c r="F882" s="43"/>
      <c r="G882" s="44"/>
      <c r="H882" s="45"/>
      <c r="I882" s="45"/>
      <c r="J882" s="46"/>
      <c r="K882" s="47"/>
      <c r="L882" s="48"/>
      <c r="M882" s="48"/>
      <c r="N882" s="48"/>
      <c r="S882" s="49"/>
    </row>
    <row r="883" customFormat="false" ht="15.75" hidden="false" customHeight="true" outlineLevel="0" collapsed="false">
      <c r="B883" s="40"/>
      <c r="C883" s="41"/>
      <c r="D883" s="42"/>
      <c r="E883" s="40"/>
      <c r="F883" s="43"/>
      <c r="G883" s="44"/>
      <c r="H883" s="45"/>
      <c r="I883" s="45"/>
      <c r="J883" s="46"/>
      <c r="K883" s="47"/>
      <c r="L883" s="48"/>
      <c r="M883" s="48"/>
      <c r="N883" s="48"/>
      <c r="S883" s="49"/>
    </row>
    <row r="884" customFormat="false" ht="15.75" hidden="false" customHeight="true" outlineLevel="0" collapsed="false">
      <c r="B884" s="40"/>
      <c r="C884" s="41"/>
      <c r="D884" s="42"/>
      <c r="E884" s="40"/>
      <c r="F884" s="43"/>
      <c r="G884" s="44"/>
      <c r="H884" s="45"/>
      <c r="I884" s="45"/>
      <c r="J884" s="46"/>
      <c r="K884" s="47"/>
      <c r="L884" s="48"/>
      <c r="M884" s="48"/>
      <c r="N884" s="48"/>
      <c r="S884" s="49"/>
    </row>
    <row r="885" customFormat="false" ht="15.75" hidden="false" customHeight="true" outlineLevel="0" collapsed="false">
      <c r="B885" s="40"/>
      <c r="C885" s="41"/>
      <c r="D885" s="42"/>
      <c r="E885" s="40"/>
      <c r="F885" s="43"/>
      <c r="G885" s="44"/>
      <c r="H885" s="45"/>
      <c r="I885" s="45"/>
      <c r="J885" s="46"/>
      <c r="K885" s="47"/>
      <c r="L885" s="48"/>
      <c r="M885" s="48"/>
      <c r="N885" s="48"/>
      <c r="S885" s="49"/>
    </row>
    <row r="886" customFormat="false" ht="15.75" hidden="false" customHeight="true" outlineLevel="0" collapsed="false">
      <c r="B886" s="40"/>
      <c r="C886" s="41"/>
      <c r="D886" s="42"/>
      <c r="E886" s="40"/>
      <c r="F886" s="43"/>
      <c r="G886" s="44"/>
      <c r="H886" s="45"/>
      <c r="I886" s="45"/>
      <c r="J886" s="46"/>
      <c r="K886" s="47"/>
      <c r="L886" s="48"/>
      <c r="M886" s="48"/>
      <c r="N886" s="48"/>
      <c r="S886" s="49"/>
    </row>
    <row r="887" customFormat="false" ht="15.75" hidden="false" customHeight="true" outlineLevel="0" collapsed="false">
      <c r="B887" s="40"/>
      <c r="C887" s="41"/>
      <c r="D887" s="42"/>
      <c r="E887" s="40"/>
      <c r="F887" s="43"/>
      <c r="G887" s="44"/>
      <c r="H887" s="45"/>
      <c r="I887" s="45"/>
      <c r="J887" s="46"/>
      <c r="K887" s="47"/>
      <c r="L887" s="48"/>
      <c r="M887" s="48"/>
      <c r="N887" s="48"/>
      <c r="S887" s="49"/>
    </row>
    <row r="888" customFormat="false" ht="15.75" hidden="false" customHeight="true" outlineLevel="0" collapsed="false">
      <c r="B888" s="40"/>
      <c r="C888" s="41"/>
      <c r="D888" s="42"/>
      <c r="E888" s="40"/>
      <c r="F888" s="43"/>
      <c r="G888" s="44"/>
      <c r="H888" s="45"/>
      <c r="I888" s="45"/>
      <c r="J888" s="46"/>
      <c r="K888" s="47"/>
      <c r="L888" s="48"/>
      <c r="M888" s="48"/>
      <c r="N888" s="48"/>
      <c r="S888" s="49"/>
    </row>
    <row r="889" customFormat="false" ht="15.75" hidden="false" customHeight="true" outlineLevel="0" collapsed="false">
      <c r="B889" s="40"/>
      <c r="C889" s="41"/>
      <c r="D889" s="42"/>
      <c r="E889" s="40"/>
      <c r="F889" s="43"/>
      <c r="G889" s="44"/>
      <c r="H889" s="45"/>
      <c r="I889" s="45"/>
      <c r="J889" s="46"/>
      <c r="K889" s="47"/>
      <c r="L889" s="48"/>
      <c r="M889" s="48"/>
      <c r="N889" s="48"/>
      <c r="S889" s="49"/>
    </row>
    <row r="890" customFormat="false" ht="15.75" hidden="false" customHeight="true" outlineLevel="0" collapsed="false">
      <c r="B890" s="40"/>
      <c r="C890" s="41"/>
      <c r="D890" s="42"/>
      <c r="E890" s="40"/>
      <c r="F890" s="43"/>
      <c r="G890" s="44"/>
      <c r="H890" s="45"/>
      <c r="I890" s="45"/>
      <c r="J890" s="46"/>
      <c r="K890" s="47"/>
      <c r="L890" s="48"/>
      <c r="M890" s="48"/>
      <c r="N890" s="48"/>
      <c r="S890" s="49"/>
    </row>
    <row r="891" customFormat="false" ht="15.75" hidden="false" customHeight="true" outlineLevel="0" collapsed="false">
      <c r="B891" s="40"/>
      <c r="C891" s="41"/>
      <c r="D891" s="42"/>
      <c r="E891" s="40"/>
      <c r="F891" s="43"/>
      <c r="G891" s="44"/>
      <c r="H891" s="45"/>
      <c r="I891" s="45"/>
      <c r="J891" s="46"/>
      <c r="K891" s="47"/>
      <c r="L891" s="48"/>
      <c r="M891" s="48"/>
      <c r="N891" s="48"/>
      <c r="S891" s="49"/>
    </row>
    <row r="892" customFormat="false" ht="15.75" hidden="false" customHeight="true" outlineLevel="0" collapsed="false">
      <c r="B892" s="40"/>
      <c r="C892" s="41"/>
      <c r="D892" s="42"/>
      <c r="E892" s="40"/>
      <c r="F892" s="43"/>
      <c r="G892" s="44"/>
      <c r="H892" s="45"/>
      <c r="I892" s="45"/>
      <c r="J892" s="46"/>
      <c r="K892" s="47"/>
      <c r="L892" s="48"/>
      <c r="M892" s="48"/>
      <c r="N892" s="48"/>
      <c r="S892" s="49"/>
    </row>
    <row r="893" customFormat="false" ht="15.75" hidden="false" customHeight="true" outlineLevel="0" collapsed="false">
      <c r="B893" s="40"/>
      <c r="C893" s="41"/>
      <c r="D893" s="42"/>
      <c r="E893" s="40"/>
      <c r="F893" s="43"/>
      <c r="G893" s="44"/>
      <c r="H893" s="45"/>
      <c r="I893" s="45"/>
      <c r="J893" s="46"/>
      <c r="K893" s="47"/>
      <c r="L893" s="48"/>
      <c r="M893" s="48"/>
      <c r="N893" s="48"/>
      <c r="S893" s="49"/>
    </row>
    <row r="894" customFormat="false" ht="15.75" hidden="false" customHeight="true" outlineLevel="0" collapsed="false">
      <c r="B894" s="40"/>
      <c r="C894" s="41"/>
      <c r="D894" s="42"/>
      <c r="E894" s="40"/>
      <c r="F894" s="43"/>
      <c r="G894" s="44"/>
      <c r="H894" s="45"/>
      <c r="I894" s="45"/>
      <c r="J894" s="46"/>
      <c r="K894" s="47"/>
      <c r="L894" s="48"/>
      <c r="M894" s="48"/>
      <c r="N894" s="48"/>
      <c r="S894" s="49"/>
    </row>
    <row r="895" customFormat="false" ht="15.75" hidden="false" customHeight="true" outlineLevel="0" collapsed="false">
      <c r="B895" s="40"/>
      <c r="C895" s="41"/>
      <c r="D895" s="42"/>
      <c r="E895" s="40"/>
      <c r="F895" s="43"/>
      <c r="G895" s="44"/>
      <c r="H895" s="45"/>
      <c r="I895" s="45"/>
      <c r="J895" s="46"/>
      <c r="K895" s="47"/>
      <c r="L895" s="48"/>
      <c r="M895" s="48"/>
      <c r="N895" s="48"/>
      <c r="S895" s="49"/>
    </row>
    <row r="896" customFormat="false" ht="15.75" hidden="false" customHeight="true" outlineLevel="0" collapsed="false">
      <c r="B896" s="40"/>
      <c r="C896" s="41"/>
      <c r="D896" s="42"/>
      <c r="E896" s="40"/>
      <c r="F896" s="43"/>
      <c r="G896" s="44"/>
      <c r="H896" s="45"/>
      <c r="I896" s="45"/>
      <c r="J896" s="46"/>
      <c r="K896" s="47"/>
      <c r="L896" s="48"/>
      <c r="M896" s="48"/>
      <c r="N896" s="48"/>
      <c r="S896" s="49"/>
    </row>
    <row r="897" customFormat="false" ht="15.75" hidden="false" customHeight="true" outlineLevel="0" collapsed="false">
      <c r="B897" s="40"/>
      <c r="C897" s="41"/>
      <c r="D897" s="42"/>
      <c r="E897" s="40"/>
      <c r="F897" s="43"/>
      <c r="G897" s="44"/>
      <c r="H897" s="45"/>
      <c r="I897" s="45"/>
      <c r="J897" s="46"/>
      <c r="K897" s="47"/>
      <c r="L897" s="48"/>
      <c r="M897" s="48"/>
      <c r="N897" s="48"/>
      <c r="S897" s="49"/>
    </row>
    <row r="898" customFormat="false" ht="15.75" hidden="false" customHeight="true" outlineLevel="0" collapsed="false">
      <c r="B898" s="40"/>
      <c r="C898" s="41"/>
      <c r="D898" s="42"/>
      <c r="E898" s="40"/>
      <c r="F898" s="43"/>
      <c r="G898" s="44"/>
      <c r="H898" s="45"/>
      <c r="I898" s="45"/>
      <c r="J898" s="46"/>
      <c r="K898" s="47"/>
      <c r="L898" s="48"/>
      <c r="M898" s="48"/>
      <c r="N898" s="48"/>
      <c r="S898" s="49"/>
    </row>
    <row r="899" customFormat="false" ht="15.75" hidden="false" customHeight="true" outlineLevel="0" collapsed="false">
      <c r="B899" s="40"/>
      <c r="C899" s="41"/>
      <c r="D899" s="42"/>
      <c r="E899" s="40"/>
      <c r="F899" s="43"/>
      <c r="G899" s="44"/>
      <c r="H899" s="45"/>
      <c r="I899" s="45"/>
      <c r="J899" s="46"/>
      <c r="K899" s="47"/>
      <c r="L899" s="48"/>
      <c r="M899" s="48"/>
      <c r="N899" s="48"/>
      <c r="S899" s="49"/>
    </row>
    <row r="900" customFormat="false" ht="15.75" hidden="false" customHeight="true" outlineLevel="0" collapsed="false">
      <c r="B900" s="40"/>
      <c r="C900" s="41"/>
      <c r="D900" s="42"/>
      <c r="E900" s="40"/>
      <c r="F900" s="43"/>
      <c r="G900" s="44"/>
      <c r="H900" s="45"/>
      <c r="I900" s="45"/>
      <c r="J900" s="46"/>
      <c r="K900" s="47"/>
      <c r="L900" s="48"/>
      <c r="M900" s="48"/>
      <c r="N900" s="48"/>
      <c r="S900" s="49"/>
    </row>
    <row r="901" customFormat="false" ht="15.75" hidden="false" customHeight="true" outlineLevel="0" collapsed="false">
      <c r="B901" s="40"/>
      <c r="C901" s="41"/>
      <c r="D901" s="42"/>
      <c r="E901" s="40"/>
      <c r="F901" s="43"/>
      <c r="G901" s="44"/>
      <c r="H901" s="45"/>
      <c r="I901" s="45"/>
      <c r="J901" s="46"/>
      <c r="K901" s="47"/>
      <c r="L901" s="48"/>
      <c r="M901" s="48"/>
      <c r="N901" s="48"/>
      <c r="S901" s="49"/>
    </row>
    <row r="902" customFormat="false" ht="15.75" hidden="false" customHeight="true" outlineLevel="0" collapsed="false">
      <c r="B902" s="40"/>
      <c r="C902" s="41"/>
      <c r="D902" s="42"/>
      <c r="E902" s="40"/>
      <c r="F902" s="43"/>
      <c r="G902" s="44"/>
      <c r="H902" s="45"/>
      <c r="I902" s="45"/>
      <c r="J902" s="46"/>
      <c r="K902" s="47"/>
      <c r="L902" s="48"/>
      <c r="M902" s="48"/>
      <c r="N902" s="48"/>
      <c r="S902" s="49"/>
    </row>
    <row r="903" customFormat="false" ht="15.75" hidden="false" customHeight="true" outlineLevel="0" collapsed="false">
      <c r="B903" s="40"/>
      <c r="C903" s="41"/>
      <c r="D903" s="42"/>
      <c r="E903" s="40"/>
      <c r="F903" s="43"/>
      <c r="G903" s="44"/>
      <c r="H903" s="45"/>
      <c r="I903" s="45"/>
      <c r="J903" s="46"/>
      <c r="K903" s="47"/>
      <c r="L903" s="48"/>
      <c r="M903" s="48"/>
      <c r="N903" s="48"/>
      <c r="S903" s="49"/>
    </row>
    <row r="904" customFormat="false" ht="15.75" hidden="false" customHeight="true" outlineLevel="0" collapsed="false">
      <c r="B904" s="40"/>
      <c r="C904" s="41"/>
      <c r="D904" s="42"/>
      <c r="E904" s="40"/>
      <c r="F904" s="43"/>
      <c r="G904" s="44"/>
      <c r="H904" s="45"/>
      <c r="I904" s="45"/>
      <c r="J904" s="46"/>
      <c r="K904" s="47"/>
      <c r="L904" s="48"/>
      <c r="M904" s="48"/>
      <c r="N904" s="48"/>
      <c r="S904" s="49"/>
    </row>
    <row r="905" customFormat="false" ht="15.75" hidden="false" customHeight="true" outlineLevel="0" collapsed="false">
      <c r="B905" s="40"/>
      <c r="C905" s="41"/>
      <c r="D905" s="42"/>
      <c r="E905" s="40"/>
      <c r="F905" s="43"/>
      <c r="G905" s="44"/>
      <c r="H905" s="45"/>
      <c r="I905" s="45"/>
      <c r="J905" s="46"/>
      <c r="K905" s="47"/>
      <c r="L905" s="48"/>
      <c r="M905" s="48"/>
      <c r="N905" s="48"/>
      <c r="S905" s="49"/>
    </row>
    <row r="906" customFormat="false" ht="15.75" hidden="false" customHeight="true" outlineLevel="0" collapsed="false">
      <c r="B906" s="40"/>
      <c r="C906" s="41"/>
      <c r="D906" s="42"/>
      <c r="E906" s="40"/>
      <c r="F906" s="43"/>
      <c r="G906" s="44"/>
      <c r="H906" s="45"/>
      <c r="I906" s="45"/>
      <c r="J906" s="46"/>
      <c r="K906" s="47"/>
      <c r="L906" s="48"/>
      <c r="M906" s="48"/>
      <c r="N906" s="48"/>
      <c r="S906" s="49"/>
    </row>
    <row r="907" customFormat="false" ht="15.75" hidden="false" customHeight="true" outlineLevel="0" collapsed="false">
      <c r="B907" s="40"/>
      <c r="C907" s="41"/>
      <c r="D907" s="42"/>
      <c r="E907" s="40"/>
      <c r="F907" s="43"/>
      <c r="G907" s="44"/>
      <c r="H907" s="45"/>
      <c r="I907" s="45"/>
      <c r="J907" s="46"/>
      <c r="K907" s="47"/>
      <c r="L907" s="48"/>
      <c r="M907" s="48"/>
      <c r="N907" s="48"/>
      <c r="S907" s="49"/>
    </row>
    <row r="908" customFormat="false" ht="15.75" hidden="false" customHeight="true" outlineLevel="0" collapsed="false">
      <c r="B908" s="40"/>
      <c r="C908" s="41"/>
      <c r="D908" s="42"/>
      <c r="E908" s="40"/>
      <c r="F908" s="43"/>
      <c r="G908" s="44"/>
      <c r="H908" s="45"/>
      <c r="I908" s="45"/>
      <c r="J908" s="46"/>
      <c r="K908" s="47"/>
      <c r="L908" s="48"/>
      <c r="M908" s="48"/>
      <c r="N908" s="48"/>
      <c r="S908" s="49"/>
    </row>
    <row r="909" customFormat="false" ht="15.75" hidden="false" customHeight="true" outlineLevel="0" collapsed="false">
      <c r="B909" s="40"/>
      <c r="C909" s="41"/>
      <c r="D909" s="42"/>
      <c r="E909" s="40"/>
      <c r="F909" s="43"/>
      <c r="G909" s="44"/>
      <c r="H909" s="45"/>
      <c r="I909" s="45"/>
      <c r="J909" s="46"/>
      <c r="K909" s="47"/>
      <c r="L909" s="48"/>
      <c r="M909" s="48"/>
      <c r="N909" s="48"/>
      <c r="S909" s="49"/>
    </row>
    <row r="910" customFormat="false" ht="15.75" hidden="false" customHeight="true" outlineLevel="0" collapsed="false">
      <c r="B910" s="40"/>
      <c r="C910" s="41"/>
      <c r="D910" s="42"/>
      <c r="E910" s="40"/>
      <c r="F910" s="43"/>
      <c r="G910" s="44"/>
      <c r="H910" s="45"/>
      <c r="I910" s="45"/>
      <c r="J910" s="46"/>
      <c r="K910" s="47"/>
      <c r="L910" s="48"/>
      <c r="M910" s="48"/>
      <c r="N910" s="48"/>
      <c r="S910" s="49"/>
    </row>
    <row r="911" customFormat="false" ht="15.75" hidden="false" customHeight="true" outlineLevel="0" collapsed="false">
      <c r="B911" s="40"/>
      <c r="C911" s="41"/>
      <c r="D911" s="42"/>
      <c r="E911" s="40"/>
      <c r="F911" s="43"/>
      <c r="G911" s="44"/>
      <c r="H911" s="45"/>
      <c r="I911" s="45"/>
      <c r="J911" s="46"/>
      <c r="K911" s="47"/>
      <c r="L911" s="48"/>
      <c r="M911" s="48"/>
      <c r="N911" s="48"/>
      <c r="S911" s="49"/>
    </row>
    <row r="912" customFormat="false" ht="15.75" hidden="false" customHeight="true" outlineLevel="0" collapsed="false">
      <c r="B912" s="40"/>
      <c r="C912" s="41"/>
      <c r="D912" s="42"/>
      <c r="E912" s="40"/>
      <c r="F912" s="43"/>
      <c r="G912" s="44"/>
      <c r="H912" s="45"/>
      <c r="I912" s="45"/>
      <c r="J912" s="46"/>
      <c r="K912" s="47"/>
      <c r="L912" s="48"/>
      <c r="M912" s="48"/>
      <c r="N912" s="48"/>
      <c r="S912" s="49"/>
    </row>
    <row r="913" customFormat="false" ht="15.75" hidden="false" customHeight="true" outlineLevel="0" collapsed="false">
      <c r="B913" s="40"/>
      <c r="C913" s="41"/>
      <c r="D913" s="42"/>
      <c r="E913" s="40"/>
      <c r="F913" s="43"/>
      <c r="G913" s="44"/>
      <c r="H913" s="45"/>
      <c r="I913" s="45"/>
      <c r="J913" s="46"/>
      <c r="K913" s="47"/>
      <c r="L913" s="48"/>
      <c r="M913" s="48"/>
      <c r="N913" s="48"/>
      <c r="S913" s="49"/>
    </row>
    <row r="914" customFormat="false" ht="15.75" hidden="false" customHeight="true" outlineLevel="0" collapsed="false">
      <c r="B914" s="40"/>
      <c r="C914" s="41"/>
      <c r="D914" s="42"/>
      <c r="E914" s="40"/>
      <c r="F914" s="43"/>
      <c r="G914" s="44"/>
      <c r="H914" s="45"/>
      <c r="I914" s="45"/>
      <c r="J914" s="46"/>
      <c r="K914" s="47"/>
      <c r="L914" s="48"/>
      <c r="M914" s="48"/>
      <c r="N914" s="48"/>
      <c r="S914" s="49"/>
    </row>
    <row r="915" customFormat="false" ht="15.75" hidden="false" customHeight="true" outlineLevel="0" collapsed="false">
      <c r="B915" s="40"/>
      <c r="C915" s="41"/>
      <c r="D915" s="42"/>
      <c r="E915" s="40"/>
      <c r="F915" s="43"/>
      <c r="G915" s="44"/>
      <c r="H915" s="45"/>
      <c r="I915" s="45"/>
      <c r="J915" s="46"/>
      <c r="K915" s="47"/>
      <c r="L915" s="48"/>
      <c r="M915" s="48"/>
      <c r="N915" s="48"/>
      <c r="S915" s="49"/>
    </row>
    <row r="916" customFormat="false" ht="15.75" hidden="false" customHeight="true" outlineLevel="0" collapsed="false">
      <c r="B916" s="40"/>
      <c r="C916" s="41"/>
      <c r="D916" s="42"/>
      <c r="E916" s="40"/>
      <c r="F916" s="43"/>
      <c r="G916" s="44"/>
      <c r="H916" s="45"/>
      <c r="I916" s="45"/>
      <c r="J916" s="46"/>
      <c r="K916" s="47"/>
      <c r="L916" s="48"/>
      <c r="M916" s="48"/>
      <c r="N916" s="48"/>
      <c r="S916" s="49"/>
    </row>
    <row r="917" customFormat="false" ht="15.75" hidden="false" customHeight="true" outlineLevel="0" collapsed="false">
      <c r="B917" s="40"/>
      <c r="C917" s="41"/>
      <c r="D917" s="42"/>
      <c r="E917" s="40"/>
      <c r="F917" s="43"/>
      <c r="G917" s="44"/>
      <c r="H917" s="45"/>
      <c r="I917" s="45"/>
      <c r="J917" s="46"/>
      <c r="K917" s="47"/>
      <c r="L917" s="48"/>
      <c r="M917" s="48"/>
      <c r="N917" s="48"/>
      <c r="S917" s="49"/>
    </row>
    <row r="918" customFormat="false" ht="15.75" hidden="false" customHeight="true" outlineLevel="0" collapsed="false">
      <c r="B918" s="40"/>
      <c r="C918" s="41"/>
      <c r="D918" s="42"/>
      <c r="E918" s="40"/>
      <c r="F918" s="43"/>
      <c r="G918" s="44"/>
      <c r="H918" s="45"/>
      <c r="I918" s="45"/>
      <c r="J918" s="46"/>
      <c r="K918" s="47"/>
      <c r="L918" s="48"/>
      <c r="M918" s="48"/>
      <c r="N918" s="48"/>
      <c r="S918" s="49"/>
    </row>
    <row r="919" customFormat="false" ht="15.75" hidden="false" customHeight="true" outlineLevel="0" collapsed="false">
      <c r="B919" s="40"/>
      <c r="C919" s="41"/>
      <c r="D919" s="42"/>
      <c r="E919" s="40"/>
      <c r="F919" s="43"/>
      <c r="G919" s="44"/>
      <c r="H919" s="45"/>
      <c r="I919" s="45"/>
      <c r="J919" s="46"/>
      <c r="K919" s="47"/>
      <c r="L919" s="48"/>
      <c r="M919" s="48"/>
      <c r="N919" s="48"/>
      <c r="S919" s="49"/>
    </row>
    <row r="920" customFormat="false" ht="15.75" hidden="false" customHeight="true" outlineLevel="0" collapsed="false">
      <c r="B920" s="40"/>
      <c r="C920" s="41"/>
      <c r="D920" s="42"/>
      <c r="E920" s="40"/>
      <c r="F920" s="43"/>
      <c r="G920" s="44"/>
      <c r="H920" s="45"/>
      <c r="I920" s="45"/>
      <c r="J920" s="46"/>
      <c r="K920" s="47"/>
      <c r="L920" s="48"/>
      <c r="M920" s="48"/>
      <c r="N920" s="48"/>
      <c r="S920" s="49"/>
    </row>
    <row r="921" customFormat="false" ht="15.75" hidden="false" customHeight="true" outlineLevel="0" collapsed="false">
      <c r="B921" s="40"/>
      <c r="C921" s="41"/>
      <c r="D921" s="42"/>
      <c r="E921" s="40"/>
      <c r="F921" s="43"/>
      <c r="G921" s="44"/>
      <c r="H921" s="45"/>
      <c r="I921" s="45"/>
      <c r="J921" s="46"/>
      <c r="K921" s="47"/>
      <c r="L921" s="48"/>
      <c r="M921" s="48"/>
      <c r="N921" s="48"/>
      <c r="S921" s="49"/>
    </row>
    <row r="922" customFormat="false" ht="15.75" hidden="false" customHeight="true" outlineLevel="0" collapsed="false">
      <c r="B922" s="40"/>
      <c r="C922" s="41"/>
      <c r="D922" s="42"/>
      <c r="E922" s="40"/>
      <c r="F922" s="43"/>
      <c r="G922" s="44"/>
      <c r="H922" s="45"/>
      <c r="I922" s="45"/>
      <c r="J922" s="46"/>
      <c r="K922" s="47"/>
      <c r="L922" s="48"/>
      <c r="M922" s="48"/>
      <c r="N922" s="48"/>
      <c r="S922" s="49"/>
    </row>
    <row r="923" customFormat="false" ht="15.75" hidden="false" customHeight="true" outlineLevel="0" collapsed="false">
      <c r="B923" s="40"/>
      <c r="C923" s="41"/>
      <c r="D923" s="42"/>
      <c r="E923" s="40"/>
      <c r="F923" s="43"/>
      <c r="G923" s="44"/>
      <c r="H923" s="45"/>
      <c r="I923" s="45"/>
      <c r="J923" s="46"/>
      <c r="K923" s="47"/>
      <c r="L923" s="48"/>
      <c r="M923" s="48"/>
      <c r="N923" s="48"/>
      <c r="S923" s="49"/>
    </row>
    <row r="924" customFormat="false" ht="15.75" hidden="false" customHeight="true" outlineLevel="0" collapsed="false">
      <c r="B924" s="40"/>
      <c r="C924" s="41"/>
      <c r="D924" s="42"/>
      <c r="E924" s="40"/>
      <c r="F924" s="43"/>
      <c r="G924" s="44"/>
      <c r="H924" s="45"/>
      <c r="I924" s="45"/>
      <c r="J924" s="46"/>
      <c r="K924" s="47"/>
      <c r="L924" s="48"/>
      <c r="M924" s="48"/>
      <c r="N924" s="48"/>
      <c r="S924" s="49"/>
    </row>
    <row r="925" customFormat="false" ht="15.75" hidden="false" customHeight="true" outlineLevel="0" collapsed="false">
      <c r="B925" s="40"/>
      <c r="C925" s="41"/>
      <c r="D925" s="42"/>
      <c r="E925" s="40"/>
      <c r="F925" s="43"/>
      <c r="G925" s="44"/>
      <c r="H925" s="45"/>
      <c r="I925" s="45"/>
      <c r="J925" s="46"/>
      <c r="K925" s="47"/>
      <c r="L925" s="48"/>
      <c r="M925" s="48"/>
      <c r="N925" s="48"/>
      <c r="S925" s="49"/>
    </row>
    <row r="926" customFormat="false" ht="15.75" hidden="false" customHeight="true" outlineLevel="0" collapsed="false">
      <c r="B926" s="40"/>
      <c r="C926" s="41"/>
      <c r="D926" s="42"/>
      <c r="E926" s="40"/>
      <c r="F926" s="43"/>
      <c r="G926" s="44"/>
      <c r="H926" s="45"/>
      <c r="I926" s="45"/>
      <c r="J926" s="46"/>
      <c r="K926" s="47"/>
      <c r="L926" s="48"/>
      <c r="M926" s="48"/>
      <c r="N926" s="48"/>
      <c r="S926" s="49"/>
    </row>
    <row r="927" customFormat="false" ht="15.75" hidden="false" customHeight="true" outlineLevel="0" collapsed="false">
      <c r="B927" s="40"/>
      <c r="C927" s="41"/>
      <c r="D927" s="42"/>
      <c r="E927" s="40"/>
      <c r="F927" s="43"/>
      <c r="G927" s="44"/>
      <c r="H927" s="45"/>
      <c r="I927" s="45"/>
      <c r="J927" s="46"/>
      <c r="K927" s="47"/>
      <c r="L927" s="48"/>
      <c r="M927" s="48"/>
      <c r="N927" s="48"/>
      <c r="S927" s="49"/>
    </row>
    <row r="928" customFormat="false" ht="15.75" hidden="false" customHeight="true" outlineLevel="0" collapsed="false">
      <c r="B928" s="40"/>
      <c r="C928" s="41"/>
      <c r="D928" s="42"/>
      <c r="E928" s="40"/>
      <c r="F928" s="43"/>
      <c r="G928" s="44"/>
      <c r="H928" s="45"/>
      <c r="I928" s="45"/>
      <c r="J928" s="46"/>
      <c r="K928" s="47"/>
      <c r="L928" s="48"/>
      <c r="M928" s="48"/>
      <c r="N928" s="48"/>
      <c r="S928" s="49"/>
    </row>
    <row r="929" customFormat="false" ht="15.75" hidden="false" customHeight="true" outlineLevel="0" collapsed="false">
      <c r="B929" s="40"/>
      <c r="C929" s="41"/>
      <c r="D929" s="42"/>
      <c r="E929" s="40"/>
      <c r="F929" s="43"/>
      <c r="G929" s="44"/>
      <c r="H929" s="45"/>
      <c r="I929" s="45"/>
      <c r="J929" s="46"/>
      <c r="K929" s="47"/>
      <c r="L929" s="48"/>
      <c r="M929" s="48"/>
      <c r="N929" s="48"/>
      <c r="S929" s="49"/>
    </row>
    <row r="930" customFormat="false" ht="15.75" hidden="false" customHeight="true" outlineLevel="0" collapsed="false">
      <c r="B930" s="40"/>
      <c r="C930" s="41"/>
      <c r="D930" s="42"/>
      <c r="E930" s="40"/>
      <c r="F930" s="43"/>
      <c r="G930" s="44"/>
      <c r="H930" s="45"/>
      <c r="I930" s="45"/>
      <c r="J930" s="46"/>
      <c r="K930" s="47"/>
      <c r="L930" s="48"/>
      <c r="M930" s="48"/>
      <c r="N930" s="48"/>
      <c r="S930" s="49"/>
    </row>
    <row r="931" customFormat="false" ht="15.75" hidden="false" customHeight="true" outlineLevel="0" collapsed="false">
      <c r="B931" s="40"/>
      <c r="C931" s="41"/>
      <c r="D931" s="42"/>
      <c r="E931" s="40"/>
      <c r="F931" s="43"/>
      <c r="G931" s="44"/>
      <c r="H931" s="45"/>
      <c r="I931" s="45"/>
      <c r="J931" s="46"/>
      <c r="K931" s="47"/>
      <c r="L931" s="48"/>
      <c r="M931" s="48"/>
      <c r="N931" s="48"/>
      <c r="S931" s="49"/>
    </row>
    <row r="932" customFormat="false" ht="15.75" hidden="false" customHeight="true" outlineLevel="0" collapsed="false">
      <c r="B932" s="40"/>
      <c r="C932" s="41"/>
      <c r="D932" s="42"/>
      <c r="E932" s="40"/>
      <c r="F932" s="43"/>
      <c r="G932" s="44"/>
      <c r="H932" s="45"/>
      <c r="I932" s="45"/>
      <c r="J932" s="46"/>
      <c r="K932" s="47"/>
      <c r="L932" s="48"/>
      <c r="M932" s="48"/>
      <c r="N932" s="48"/>
      <c r="S932" s="49"/>
    </row>
    <row r="933" customFormat="false" ht="15.75" hidden="false" customHeight="true" outlineLevel="0" collapsed="false">
      <c r="B933" s="40"/>
      <c r="C933" s="41"/>
      <c r="D933" s="42"/>
      <c r="E933" s="40"/>
      <c r="F933" s="43"/>
      <c r="G933" s="44"/>
      <c r="H933" s="45"/>
      <c r="I933" s="45"/>
      <c r="J933" s="46"/>
      <c r="K933" s="47"/>
      <c r="L933" s="48"/>
      <c r="M933" s="48"/>
      <c r="N933" s="48"/>
      <c r="S933" s="49"/>
    </row>
    <row r="934" customFormat="false" ht="15.75" hidden="false" customHeight="true" outlineLevel="0" collapsed="false">
      <c r="B934" s="40"/>
      <c r="C934" s="41"/>
      <c r="D934" s="42"/>
      <c r="E934" s="40"/>
      <c r="F934" s="43"/>
      <c r="G934" s="44"/>
      <c r="H934" s="45"/>
      <c r="I934" s="45"/>
      <c r="J934" s="46"/>
      <c r="K934" s="47"/>
      <c r="L934" s="48"/>
      <c r="M934" s="48"/>
      <c r="N934" s="48"/>
      <c r="S934" s="49"/>
    </row>
    <row r="935" customFormat="false" ht="15.75" hidden="false" customHeight="true" outlineLevel="0" collapsed="false">
      <c r="B935" s="40"/>
      <c r="C935" s="41"/>
      <c r="D935" s="42"/>
      <c r="E935" s="40"/>
      <c r="F935" s="43"/>
      <c r="G935" s="44"/>
      <c r="H935" s="45"/>
      <c r="I935" s="45"/>
      <c r="J935" s="46"/>
      <c r="K935" s="47"/>
      <c r="L935" s="48"/>
      <c r="M935" s="48"/>
      <c r="N935" s="48"/>
      <c r="S935" s="49"/>
    </row>
    <row r="936" customFormat="false" ht="15.75" hidden="false" customHeight="true" outlineLevel="0" collapsed="false">
      <c r="B936" s="40"/>
      <c r="C936" s="41"/>
      <c r="D936" s="42"/>
      <c r="E936" s="40"/>
      <c r="F936" s="43"/>
      <c r="G936" s="44"/>
      <c r="H936" s="45"/>
      <c r="I936" s="45"/>
      <c r="J936" s="46"/>
      <c r="K936" s="47"/>
      <c r="L936" s="48"/>
      <c r="M936" s="48"/>
      <c r="N936" s="48"/>
      <c r="S936" s="49"/>
    </row>
    <row r="937" customFormat="false" ht="15.75" hidden="false" customHeight="true" outlineLevel="0" collapsed="false">
      <c r="B937" s="40"/>
      <c r="C937" s="41"/>
      <c r="D937" s="42"/>
      <c r="E937" s="40"/>
      <c r="F937" s="43"/>
      <c r="G937" s="44"/>
      <c r="H937" s="45"/>
      <c r="I937" s="45"/>
      <c r="J937" s="46"/>
      <c r="K937" s="47"/>
      <c r="L937" s="48"/>
      <c r="M937" s="48"/>
      <c r="N937" s="48"/>
      <c r="S937" s="49"/>
    </row>
    <row r="938" customFormat="false" ht="15.75" hidden="false" customHeight="true" outlineLevel="0" collapsed="false">
      <c r="B938" s="40"/>
      <c r="C938" s="41"/>
      <c r="D938" s="42"/>
      <c r="E938" s="40"/>
      <c r="F938" s="43"/>
      <c r="G938" s="44"/>
      <c r="H938" s="45"/>
      <c r="I938" s="45"/>
      <c r="J938" s="46"/>
      <c r="K938" s="47"/>
      <c r="L938" s="48"/>
      <c r="M938" s="48"/>
      <c r="N938" s="48"/>
      <c r="S938" s="49"/>
    </row>
    <row r="939" customFormat="false" ht="15.75" hidden="false" customHeight="true" outlineLevel="0" collapsed="false">
      <c r="B939" s="40"/>
      <c r="C939" s="41"/>
      <c r="D939" s="42"/>
      <c r="E939" s="40"/>
      <c r="F939" s="43"/>
      <c r="G939" s="44"/>
      <c r="H939" s="45"/>
      <c r="I939" s="45"/>
      <c r="J939" s="46"/>
      <c r="K939" s="47"/>
      <c r="L939" s="48"/>
      <c r="M939" s="48"/>
      <c r="N939" s="48"/>
      <c r="S939" s="49"/>
    </row>
    <row r="940" customFormat="false" ht="15.75" hidden="false" customHeight="true" outlineLevel="0" collapsed="false">
      <c r="B940" s="40"/>
      <c r="C940" s="41"/>
      <c r="D940" s="42"/>
      <c r="E940" s="40"/>
      <c r="F940" s="43"/>
      <c r="G940" s="44"/>
      <c r="H940" s="45"/>
      <c r="I940" s="45"/>
      <c r="J940" s="46"/>
      <c r="K940" s="47"/>
      <c r="L940" s="48"/>
      <c r="M940" s="48"/>
      <c r="N940" s="48"/>
      <c r="S940" s="49"/>
    </row>
    <row r="941" customFormat="false" ht="15.75" hidden="false" customHeight="true" outlineLevel="0" collapsed="false">
      <c r="B941" s="40"/>
      <c r="C941" s="41"/>
      <c r="D941" s="42"/>
      <c r="E941" s="40"/>
      <c r="F941" s="43"/>
      <c r="G941" s="44"/>
      <c r="H941" s="45"/>
      <c r="I941" s="45"/>
      <c r="J941" s="46"/>
      <c r="K941" s="47"/>
      <c r="L941" s="48"/>
      <c r="M941" s="48"/>
      <c r="N941" s="48"/>
      <c r="S941" s="49"/>
    </row>
    <row r="942" customFormat="false" ht="15.75" hidden="false" customHeight="true" outlineLevel="0" collapsed="false">
      <c r="B942" s="40"/>
      <c r="C942" s="41"/>
      <c r="D942" s="42"/>
      <c r="E942" s="40"/>
      <c r="F942" s="43"/>
      <c r="G942" s="44"/>
      <c r="H942" s="45"/>
      <c r="I942" s="45"/>
      <c r="J942" s="46"/>
      <c r="K942" s="47"/>
      <c r="L942" s="48"/>
      <c r="M942" s="48"/>
      <c r="N942" s="48"/>
      <c r="S942" s="49"/>
    </row>
    <row r="943" customFormat="false" ht="15.75" hidden="false" customHeight="true" outlineLevel="0" collapsed="false">
      <c r="B943" s="40"/>
      <c r="C943" s="41"/>
      <c r="D943" s="42"/>
      <c r="E943" s="40"/>
      <c r="F943" s="43"/>
      <c r="G943" s="44"/>
      <c r="H943" s="45"/>
      <c r="I943" s="45"/>
      <c r="J943" s="46"/>
      <c r="K943" s="47"/>
      <c r="L943" s="48"/>
      <c r="M943" s="48"/>
      <c r="N943" s="48"/>
      <c r="S943" s="49"/>
    </row>
    <row r="944" customFormat="false" ht="15.75" hidden="false" customHeight="true" outlineLevel="0" collapsed="false">
      <c r="B944" s="40"/>
      <c r="C944" s="41"/>
      <c r="D944" s="42"/>
      <c r="E944" s="40"/>
      <c r="F944" s="43"/>
      <c r="G944" s="44"/>
      <c r="H944" s="45"/>
      <c r="I944" s="45"/>
      <c r="J944" s="46"/>
      <c r="K944" s="47"/>
      <c r="L944" s="48"/>
      <c r="M944" s="48"/>
      <c r="N944" s="48"/>
      <c r="S944" s="49"/>
    </row>
    <row r="945" customFormat="false" ht="15.75" hidden="false" customHeight="true" outlineLevel="0" collapsed="false">
      <c r="B945" s="40"/>
      <c r="C945" s="41"/>
      <c r="D945" s="42"/>
      <c r="E945" s="40"/>
      <c r="F945" s="43"/>
      <c r="G945" s="44"/>
      <c r="H945" s="45"/>
      <c r="I945" s="45"/>
      <c r="J945" s="46"/>
      <c r="K945" s="47"/>
      <c r="L945" s="48"/>
      <c r="M945" s="48"/>
      <c r="N945" s="48"/>
      <c r="S945" s="49"/>
    </row>
    <row r="946" customFormat="false" ht="15.75" hidden="false" customHeight="true" outlineLevel="0" collapsed="false">
      <c r="B946" s="40"/>
      <c r="C946" s="41"/>
      <c r="D946" s="42"/>
      <c r="E946" s="40"/>
      <c r="F946" s="43"/>
      <c r="G946" s="44"/>
      <c r="H946" s="45"/>
      <c r="I946" s="45"/>
      <c r="J946" s="46"/>
      <c r="K946" s="47"/>
      <c r="L946" s="48"/>
      <c r="M946" s="48"/>
      <c r="N946" s="48"/>
      <c r="S946" s="49"/>
    </row>
    <row r="947" customFormat="false" ht="15.75" hidden="false" customHeight="true" outlineLevel="0" collapsed="false">
      <c r="B947" s="40"/>
      <c r="C947" s="41"/>
      <c r="D947" s="42"/>
      <c r="E947" s="40"/>
      <c r="F947" s="43"/>
      <c r="G947" s="44"/>
      <c r="H947" s="45"/>
      <c r="I947" s="45"/>
      <c r="J947" s="46"/>
      <c r="K947" s="47"/>
      <c r="L947" s="48"/>
      <c r="M947" s="48"/>
      <c r="N947" s="48"/>
      <c r="S947" s="49"/>
    </row>
    <row r="948" customFormat="false" ht="15.75" hidden="false" customHeight="true" outlineLevel="0" collapsed="false">
      <c r="B948" s="40"/>
      <c r="C948" s="41"/>
      <c r="D948" s="42"/>
      <c r="E948" s="40"/>
      <c r="F948" s="43"/>
      <c r="G948" s="44"/>
      <c r="H948" s="45"/>
      <c r="I948" s="45"/>
      <c r="J948" s="46"/>
      <c r="K948" s="47"/>
      <c r="L948" s="48"/>
      <c r="M948" s="48"/>
      <c r="N948" s="48"/>
      <c r="S948" s="49"/>
    </row>
    <row r="949" customFormat="false" ht="15.75" hidden="false" customHeight="true" outlineLevel="0" collapsed="false">
      <c r="B949" s="40"/>
      <c r="C949" s="41"/>
      <c r="D949" s="42"/>
      <c r="E949" s="40"/>
      <c r="F949" s="43"/>
      <c r="G949" s="44"/>
      <c r="H949" s="45"/>
      <c r="I949" s="45"/>
      <c r="J949" s="46"/>
      <c r="K949" s="47"/>
      <c r="L949" s="48"/>
      <c r="M949" s="48"/>
      <c r="N949" s="48"/>
      <c r="S949" s="49"/>
    </row>
    <row r="950" customFormat="false" ht="15.75" hidden="false" customHeight="true" outlineLevel="0" collapsed="false">
      <c r="B950" s="40"/>
      <c r="C950" s="41"/>
      <c r="D950" s="42"/>
      <c r="E950" s="40"/>
      <c r="F950" s="43"/>
      <c r="G950" s="44"/>
      <c r="H950" s="45"/>
      <c r="I950" s="45"/>
      <c r="J950" s="46"/>
      <c r="K950" s="47"/>
      <c r="L950" s="48"/>
      <c r="M950" s="48"/>
      <c r="N950" s="48"/>
      <c r="S950" s="49"/>
    </row>
    <row r="951" customFormat="false" ht="15.75" hidden="false" customHeight="true" outlineLevel="0" collapsed="false">
      <c r="B951" s="40"/>
      <c r="C951" s="41"/>
      <c r="D951" s="42"/>
      <c r="E951" s="40"/>
      <c r="F951" s="43"/>
      <c r="G951" s="44"/>
      <c r="H951" s="45"/>
      <c r="I951" s="45"/>
      <c r="J951" s="46"/>
      <c r="K951" s="47"/>
      <c r="L951" s="48"/>
      <c r="M951" s="48"/>
      <c r="N951" s="48"/>
      <c r="S951" s="49"/>
    </row>
    <row r="952" customFormat="false" ht="15.75" hidden="false" customHeight="true" outlineLevel="0" collapsed="false">
      <c r="B952" s="40"/>
      <c r="C952" s="41"/>
      <c r="D952" s="42"/>
      <c r="E952" s="40"/>
      <c r="F952" s="43"/>
      <c r="G952" s="44"/>
      <c r="H952" s="45"/>
      <c r="I952" s="45"/>
      <c r="J952" s="46"/>
      <c r="K952" s="47"/>
      <c r="L952" s="48"/>
      <c r="M952" s="48"/>
      <c r="N952" s="48"/>
      <c r="S952" s="49"/>
    </row>
    <row r="953" customFormat="false" ht="15.75" hidden="false" customHeight="true" outlineLevel="0" collapsed="false">
      <c r="B953" s="40"/>
      <c r="C953" s="41"/>
      <c r="D953" s="42"/>
      <c r="E953" s="40"/>
      <c r="F953" s="43"/>
      <c r="G953" s="44"/>
      <c r="H953" s="45"/>
      <c r="I953" s="45"/>
      <c r="J953" s="46"/>
      <c r="K953" s="47"/>
      <c r="L953" s="48"/>
      <c r="M953" s="48"/>
      <c r="N953" s="48"/>
      <c r="S953" s="49"/>
    </row>
    <row r="954" customFormat="false" ht="15.75" hidden="false" customHeight="true" outlineLevel="0" collapsed="false">
      <c r="B954" s="40"/>
      <c r="C954" s="41"/>
      <c r="D954" s="42"/>
      <c r="E954" s="40"/>
      <c r="F954" s="43"/>
      <c r="G954" s="44"/>
      <c r="H954" s="45"/>
      <c r="I954" s="45"/>
      <c r="J954" s="46"/>
      <c r="K954" s="47"/>
      <c r="L954" s="48"/>
      <c r="M954" s="48"/>
      <c r="N954" s="48"/>
      <c r="S954" s="49"/>
    </row>
    <row r="955" customFormat="false" ht="15.75" hidden="false" customHeight="true" outlineLevel="0" collapsed="false">
      <c r="B955" s="40"/>
      <c r="C955" s="41"/>
      <c r="D955" s="42"/>
      <c r="E955" s="40"/>
      <c r="F955" s="43"/>
      <c r="G955" s="44"/>
      <c r="H955" s="45"/>
      <c r="I955" s="45"/>
      <c r="J955" s="46"/>
      <c r="K955" s="47"/>
      <c r="L955" s="48"/>
      <c r="M955" s="48"/>
      <c r="N955" s="48"/>
      <c r="S955" s="49"/>
    </row>
    <row r="956" customFormat="false" ht="15.75" hidden="false" customHeight="true" outlineLevel="0" collapsed="false">
      <c r="B956" s="40"/>
      <c r="C956" s="41"/>
      <c r="D956" s="42"/>
      <c r="E956" s="40"/>
      <c r="F956" s="43"/>
      <c r="G956" s="44"/>
      <c r="H956" s="45"/>
      <c r="I956" s="45"/>
      <c r="J956" s="46"/>
      <c r="K956" s="47"/>
      <c r="L956" s="48"/>
      <c r="M956" s="48"/>
      <c r="N956" s="48"/>
      <c r="S956" s="49"/>
    </row>
    <row r="957" customFormat="false" ht="15.75" hidden="false" customHeight="true" outlineLevel="0" collapsed="false">
      <c r="B957" s="40"/>
      <c r="C957" s="41"/>
      <c r="D957" s="42"/>
      <c r="E957" s="40"/>
      <c r="F957" s="43"/>
      <c r="G957" s="44"/>
      <c r="H957" s="45"/>
      <c r="I957" s="45"/>
      <c r="J957" s="46"/>
      <c r="K957" s="47"/>
      <c r="L957" s="48"/>
      <c r="M957" s="48"/>
      <c r="N957" s="48"/>
      <c r="S957" s="49"/>
    </row>
    <row r="958" customFormat="false" ht="15.75" hidden="false" customHeight="true" outlineLevel="0" collapsed="false">
      <c r="B958" s="40"/>
      <c r="C958" s="41"/>
      <c r="D958" s="42"/>
      <c r="E958" s="40"/>
      <c r="F958" s="43"/>
      <c r="G958" s="44"/>
      <c r="H958" s="45"/>
      <c r="I958" s="45"/>
      <c r="J958" s="46"/>
      <c r="K958" s="47"/>
      <c r="L958" s="48"/>
      <c r="M958" s="48"/>
      <c r="N958" s="48"/>
      <c r="S958" s="49"/>
    </row>
    <row r="959" customFormat="false" ht="15.75" hidden="false" customHeight="true" outlineLevel="0" collapsed="false">
      <c r="B959" s="40"/>
      <c r="C959" s="41"/>
      <c r="D959" s="42"/>
      <c r="E959" s="40"/>
      <c r="F959" s="43"/>
      <c r="G959" s="44"/>
      <c r="H959" s="45"/>
      <c r="I959" s="45"/>
      <c r="J959" s="46"/>
      <c r="K959" s="47"/>
      <c r="L959" s="48"/>
      <c r="M959" s="48"/>
      <c r="N959" s="48"/>
      <c r="S959" s="49"/>
    </row>
    <row r="960" customFormat="false" ht="15.75" hidden="false" customHeight="true" outlineLevel="0" collapsed="false">
      <c r="B960" s="40"/>
      <c r="C960" s="41"/>
      <c r="D960" s="42"/>
      <c r="E960" s="40"/>
      <c r="F960" s="43"/>
      <c r="G960" s="44"/>
      <c r="H960" s="45"/>
      <c r="I960" s="45"/>
      <c r="J960" s="46"/>
      <c r="K960" s="47"/>
      <c r="L960" s="48"/>
      <c r="M960" s="48"/>
      <c r="N960" s="48"/>
      <c r="S960" s="49"/>
    </row>
    <row r="961" customFormat="false" ht="15.75" hidden="false" customHeight="true" outlineLevel="0" collapsed="false">
      <c r="B961" s="40"/>
      <c r="C961" s="41"/>
      <c r="D961" s="42"/>
      <c r="E961" s="40"/>
      <c r="F961" s="43"/>
      <c r="G961" s="44"/>
      <c r="H961" s="45"/>
      <c r="I961" s="45"/>
      <c r="J961" s="46"/>
      <c r="K961" s="47"/>
      <c r="L961" s="48"/>
      <c r="M961" s="48"/>
      <c r="N961" s="48"/>
      <c r="S961" s="49"/>
    </row>
    <row r="962" customFormat="false" ht="15.75" hidden="false" customHeight="true" outlineLevel="0" collapsed="false">
      <c r="B962" s="40"/>
      <c r="C962" s="41"/>
      <c r="D962" s="42"/>
      <c r="E962" s="40"/>
      <c r="F962" s="43"/>
      <c r="G962" s="44"/>
      <c r="H962" s="45"/>
      <c r="I962" s="45"/>
      <c r="J962" s="46"/>
      <c r="K962" s="47"/>
      <c r="L962" s="48"/>
      <c r="M962" s="48"/>
      <c r="N962" s="48"/>
      <c r="S962" s="49"/>
    </row>
    <row r="963" customFormat="false" ht="15.75" hidden="false" customHeight="true" outlineLevel="0" collapsed="false">
      <c r="B963" s="40"/>
      <c r="C963" s="41"/>
      <c r="D963" s="42"/>
      <c r="E963" s="40"/>
      <c r="F963" s="43"/>
      <c r="G963" s="44"/>
      <c r="H963" s="45"/>
      <c r="I963" s="45"/>
      <c r="J963" s="46"/>
      <c r="K963" s="47"/>
      <c r="L963" s="48"/>
      <c r="M963" s="48"/>
      <c r="N963" s="48"/>
      <c r="S963" s="49"/>
    </row>
    <row r="964" customFormat="false" ht="15.75" hidden="false" customHeight="true" outlineLevel="0" collapsed="false">
      <c r="B964" s="40"/>
      <c r="C964" s="41"/>
      <c r="D964" s="42"/>
      <c r="E964" s="40"/>
      <c r="F964" s="43"/>
      <c r="G964" s="44"/>
      <c r="H964" s="45"/>
      <c r="I964" s="45"/>
      <c r="J964" s="46"/>
      <c r="K964" s="47"/>
      <c r="L964" s="48"/>
      <c r="M964" s="48"/>
      <c r="N964" s="48"/>
      <c r="S964" s="49"/>
    </row>
    <row r="965" customFormat="false" ht="15.75" hidden="false" customHeight="true" outlineLevel="0" collapsed="false">
      <c r="B965" s="40"/>
      <c r="C965" s="41"/>
      <c r="D965" s="42"/>
      <c r="E965" s="40"/>
      <c r="F965" s="43"/>
      <c r="G965" s="44"/>
      <c r="H965" s="45"/>
      <c r="I965" s="45"/>
      <c r="J965" s="46"/>
      <c r="K965" s="47"/>
      <c r="L965" s="48"/>
      <c r="M965" s="48"/>
      <c r="N965" s="48"/>
      <c r="S965" s="49"/>
    </row>
    <row r="966" customFormat="false" ht="15.75" hidden="false" customHeight="true" outlineLevel="0" collapsed="false">
      <c r="B966" s="40"/>
      <c r="C966" s="41"/>
      <c r="D966" s="42"/>
      <c r="E966" s="40"/>
      <c r="F966" s="43"/>
      <c r="G966" s="44"/>
      <c r="H966" s="45"/>
      <c r="I966" s="45"/>
      <c r="J966" s="46"/>
      <c r="K966" s="47"/>
      <c r="L966" s="48"/>
      <c r="M966" s="48"/>
      <c r="N966" s="48"/>
      <c r="S966" s="49"/>
    </row>
    <row r="967" customFormat="false" ht="15.75" hidden="false" customHeight="true" outlineLevel="0" collapsed="false">
      <c r="B967" s="40"/>
      <c r="C967" s="41"/>
      <c r="D967" s="42"/>
      <c r="E967" s="40"/>
      <c r="F967" s="43"/>
      <c r="G967" s="44"/>
      <c r="H967" s="45"/>
      <c r="I967" s="45"/>
      <c r="J967" s="46"/>
      <c r="K967" s="47"/>
      <c r="L967" s="48"/>
      <c r="M967" s="48"/>
      <c r="N967" s="48"/>
      <c r="S967" s="49"/>
    </row>
    <row r="968" customFormat="false" ht="15.75" hidden="false" customHeight="true" outlineLevel="0" collapsed="false">
      <c r="B968" s="40"/>
      <c r="C968" s="41"/>
      <c r="D968" s="42"/>
      <c r="E968" s="40"/>
      <c r="F968" s="43"/>
      <c r="G968" s="44"/>
      <c r="H968" s="45"/>
      <c r="I968" s="45"/>
      <c r="J968" s="46"/>
      <c r="K968" s="47"/>
      <c r="L968" s="48"/>
      <c r="M968" s="48"/>
      <c r="N968" s="48"/>
      <c r="S968" s="49"/>
    </row>
    <row r="969" customFormat="false" ht="15.75" hidden="false" customHeight="true" outlineLevel="0" collapsed="false">
      <c r="B969" s="40"/>
      <c r="C969" s="41"/>
      <c r="D969" s="42"/>
      <c r="E969" s="40"/>
      <c r="F969" s="43"/>
      <c r="G969" s="44"/>
      <c r="H969" s="45"/>
      <c r="I969" s="45"/>
      <c r="J969" s="46"/>
      <c r="K969" s="47"/>
      <c r="L969" s="48"/>
      <c r="M969" s="48"/>
      <c r="N969" s="48"/>
      <c r="S969" s="49"/>
    </row>
    <row r="970" customFormat="false" ht="15.75" hidden="false" customHeight="true" outlineLevel="0" collapsed="false">
      <c r="B970" s="40"/>
      <c r="C970" s="41"/>
      <c r="D970" s="42"/>
      <c r="E970" s="40"/>
      <c r="F970" s="43"/>
      <c r="G970" s="44"/>
      <c r="H970" s="45"/>
      <c r="I970" s="45"/>
      <c r="J970" s="46"/>
      <c r="K970" s="47"/>
      <c r="L970" s="48"/>
      <c r="M970" s="48"/>
      <c r="N970" s="48"/>
      <c r="S970" s="49"/>
    </row>
    <row r="971" customFormat="false" ht="15.75" hidden="false" customHeight="true" outlineLevel="0" collapsed="false">
      <c r="B971" s="40"/>
      <c r="C971" s="41"/>
      <c r="D971" s="42"/>
      <c r="E971" s="40"/>
      <c r="F971" s="43"/>
      <c r="G971" s="44"/>
      <c r="H971" s="45"/>
      <c r="I971" s="45"/>
      <c r="J971" s="46"/>
      <c r="K971" s="47"/>
      <c r="L971" s="48"/>
      <c r="M971" s="48"/>
      <c r="N971" s="48"/>
      <c r="S971" s="49"/>
    </row>
    <row r="972" customFormat="false" ht="15.75" hidden="false" customHeight="true" outlineLevel="0" collapsed="false">
      <c r="B972" s="40"/>
      <c r="C972" s="41"/>
      <c r="D972" s="42"/>
      <c r="E972" s="40"/>
      <c r="F972" s="43"/>
      <c r="G972" s="44"/>
      <c r="H972" s="45"/>
      <c r="I972" s="45"/>
      <c r="J972" s="46"/>
      <c r="K972" s="47"/>
      <c r="L972" s="48"/>
      <c r="M972" s="48"/>
      <c r="N972" s="48"/>
      <c r="S972" s="49"/>
    </row>
    <row r="973" customFormat="false" ht="15.75" hidden="false" customHeight="true" outlineLevel="0" collapsed="false">
      <c r="B973" s="40"/>
      <c r="C973" s="41"/>
      <c r="D973" s="42"/>
      <c r="E973" s="40"/>
      <c r="F973" s="43"/>
      <c r="G973" s="44"/>
      <c r="H973" s="45"/>
      <c r="I973" s="45"/>
      <c r="J973" s="46"/>
      <c r="K973" s="47"/>
      <c r="L973" s="48"/>
      <c r="M973" s="48"/>
      <c r="N973" s="48"/>
      <c r="S973" s="49"/>
    </row>
    <row r="974" customFormat="false" ht="15.75" hidden="false" customHeight="true" outlineLevel="0" collapsed="false">
      <c r="B974" s="40"/>
      <c r="C974" s="41"/>
      <c r="D974" s="42"/>
      <c r="E974" s="40"/>
      <c r="F974" s="43"/>
      <c r="G974" s="44"/>
      <c r="H974" s="45"/>
      <c r="I974" s="45"/>
      <c r="J974" s="46"/>
      <c r="K974" s="47"/>
      <c r="L974" s="48"/>
      <c r="M974" s="48"/>
      <c r="N974" s="48"/>
      <c r="S974" s="49"/>
    </row>
    <row r="975" customFormat="false" ht="15.75" hidden="false" customHeight="true" outlineLevel="0" collapsed="false">
      <c r="B975" s="40"/>
      <c r="C975" s="41"/>
      <c r="D975" s="42"/>
      <c r="E975" s="40"/>
      <c r="F975" s="43"/>
      <c r="G975" s="44"/>
      <c r="H975" s="45"/>
      <c r="I975" s="45"/>
      <c r="J975" s="46"/>
      <c r="K975" s="47"/>
      <c r="L975" s="48"/>
      <c r="M975" s="48"/>
      <c r="N975" s="48"/>
      <c r="S975" s="49"/>
    </row>
    <row r="976" customFormat="false" ht="15.75" hidden="false" customHeight="true" outlineLevel="0" collapsed="false">
      <c r="B976" s="40"/>
      <c r="C976" s="41"/>
      <c r="D976" s="42"/>
      <c r="E976" s="40"/>
      <c r="F976" s="43"/>
      <c r="G976" s="44"/>
      <c r="H976" s="45"/>
      <c r="I976" s="45"/>
      <c r="J976" s="46"/>
      <c r="K976" s="47"/>
      <c r="L976" s="48"/>
      <c r="M976" s="48"/>
      <c r="N976" s="48"/>
      <c r="S976" s="49"/>
    </row>
    <row r="977" customFormat="false" ht="15.75" hidden="false" customHeight="true" outlineLevel="0" collapsed="false">
      <c r="B977" s="40"/>
      <c r="C977" s="41"/>
      <c r="D977" s="42"/>
      <c r="E977" s="40"/>
      <c r="F977" s="43"/>
      <c r="G977" s="44"/>
      <c r="H977" s="45"/>
      <c r="I977" s="45"/>
      <c r="J977" s="46"/>
      <c r="K977" s="47"/>
      <c r="L977" s="48"/>
      <c r="M977" s="48"/>
      <c r="N977" s="48"/>
      <c r="S977" s="49"/>
    </row>
    <row r="978" customFormat="false" ht="15.75" hidden="false" customHeight="true" outlineLevel="0" collapsed="false">
      <c r="B978" s="40"/>
      <c r="C978" s="41"/>
      <c r="D978" s="42"/>
      <c r="E978" s="40"/>
      <c r="F978" s="43"/>
      <c r="G978" s="44"/>
      <c r="H978" s="45"/>
      <c r="I978" s="45"/>
      <c r="J978" s="46"/>
      <c r="K978" s="47"/>
      <c r="L978" s="48"/>
      <c r="M978" s="48"/>
      <c r="N978" s="48"/>
      <c r="S978" s="49"/>
    </row>
    <row r="979" customFormat="false" ht="15.75" hidden="false" customHeight="true" outlineLevel="0" collapsed="false">
      <c r="B979" s="40"/>
      <c r="C979" s="41"/>
      <c r="D979" s="42"/>
      <c r="E979" s="40"/>
      <c r="F979" s="43"/>
      <c r="G979" s="44"/>
      <c r="H979" s="45"/>
      <c r="I979" s="45"/>
      <c r="J979" s="46"/>
      <c r="K979" s="47"/>
      <c r="L979" s="48"/>
      <c r="M979" s="48"/>
      <c r="N979" s="48"/>
      <c r="S979" s="49"/>
    </row>
    <row r="980" customFormat="false" ht="15.75" hidden="false" customHeight="true" outlineLevel="0" collapsed="false">
      <c r="B980" s="40"/>
      <c r="C980" s="41"/>
      <c r="D980" s="42"/>
      <c r="E980" s="40"/>
      <c r="F980" s="43"/>
      <c r="G980" s="44"/>
      <c r="H980" s="45"/>
      <c r="I980" s="45"/>
      <c r="J980" s="46"/>
      <c r="K980" s="47"/>
      <c r="L980" s="48"/>
      <c r="M980" s="48"/>
      <c r="N980" s="48"/>
      <c r="S980" s="49"/>
    </row>
    <row r="981" customFormat="false" ht="15.75" hidden="false" customHeight="true" outlineLevel="0" collapsed="false">
      <c r="B981" s="40"/>
      <c r="C981" s="41"/>
      <c r="D981" s="42"/>
      <c r="E981" s="40"/>
      <c r="F981" s="43"/>
      <c r="G981" s="44"/>
      <c r="H981" s="45"/>
      <c r="I981" s="45"/>
      <c r="J981" s="46"/>
      <c r="K981" s="47"/>
      <c r="L981" s="48"/>
      <c r="M981" s="48"/>
      <c r="N981" s="48"/>
      <c r="S981" s="49"/>
    </row>
    <row r="982" customFormat="false" ht="15.75" hidden="false" customHeight="true" outlineLevel="0" collapsed="false">
      <c r="B982" s="40"/>
      <c r="C982" s="41"/>
      <c r="D982" s="42"/>
      <c r="E982" s="40"/>
      <c r="F982" s="43"/>
      <c r="G982" s="44"/>
      <c r="H982" s="45"/>
      <c r="I982" s="45"/>
      <c r="J982" s="46"/>
      <c r="K982" s="47"/>
      <c r="L982" s="48"/>
      <c r="M982" s="48"/>
      <c r="N982" s="48"/>
      <c r="S982" s="49"/>
    </row>
    <row r="983" customFormat="false" ht="15.75" hidden="false" customHeight="true" outlineLevel="0" collapsed="false">
      <c r="B983" s="40"/>
      <c r="C983" s="41"/>
      <c r="D983" s="42"/>
      <c r="E983" s="40"/>
      <c r="F983" s="43"/>
      <c r="G983" s="44"/>
      <c r="H983" s="45"/>
      <c r="I983" s="45"/>
      <c r="J983" s="46"/>
      <c r="K983" s="47"/>
      <c r="L983" s="48"/>
      <c r="M983" s="48"/>
      <c r="N983" s="48"/>
      <c r="S983" s="49"/>
    </row>
    <row r="984" customFormat="false" ht="15.75" hidden="false" customHeight="true" outlineLevel="0" collapsed="false">
      <c r="B984" s="40"/>
      <c r="C984" s="41"/>
      <c r="D984" s="42"/>
      <c r="E984" s="40"/>
      <c r="F984" s="43"/>
      <c r="G984" s="44"/>
      <c r="H984" s="45"/>
      <c r="I984" s="45"/>
      <c r="J984" s="46"/>
      <c r="K984" s="47"/>
      <c r="L984" s="48"/>
      <c r="M984" s="48"/>
      <c r="N984" s="48"/>
      <c r="S984" s="49"/>
    </row>
    <row r="985" customFormat="false" ht="15.75" hidden="false" customHeight="true" outlineLevel="0" collapsed="false">
      <c r="B985" s="40"/>
      <c r="C985" s="41"/>
      <c r="D985" s="42"/>
      <c r="E985" s="40"/>
      <c r="F985" s="43"/>
      <c r="G985" s="44"/>
      <c r="H985" s="45"/>
      <c r="I985" s="45"/>
      <c r="J985" s="46"/>
      <c r="K985" s="47"/>
      <c r="L985" s="48"/>
      <c r="M985" s="48"/>
      <c r="N985" s="48"/>
      <c r="S985" s="49"/>
    </row>
    <row r="986" customFormat="false" ht="15.75" hidden="false" customHeight="true" outlineLevel="0" collapsed="false">
      <c r="B986" s="40"/>
      <c r="C986" s="41"/>
      <c r="D986" s="42"/>
      <c r="E986" s="40"/>
      <c r="F986" s="43"/>
      <c r="G986" s="44"/>
      <c r="H986" s="45"/>
      <c r="I986" s="45"/>
      <c r="J986" s="46"/>
      <c r="K986" s="47"/>
      <c r="L986" s="48"/>
      <c r="M986" s="48"/>
      <c r="N986" s="48"/>
      <c r="S986" s="49"/>
    </row>
    <row r="987" customFormat="false" ht="15.75" hidden="false" customHeight="true" outlineLevel="0" collapsed="false">
      <c r="B987" s="40"/>
      <c r="C987" s="41"/>
      <c r="D987" s="42"/>
      <c r="E987" s="40"/>
      <c r="F987" s="43"/>
      <c r="G987" s="44"/>
      <c r="H987" s="45"/>
      <c r="I987" s="45"/>
      <c r="J987" s="46"/>
      <c r="K987" s="47"/>
      <c r="L987" s="48"/>
      <c r="M987" s="48"/>
      <c r="N987" s="48"/>
      <c r="S987" s="49"/>
    </row>
    <row r="988" customFormat="false" ht="15.75" hidden="false" customHeight="true" outlineLevel="0" collapsed="false">
      <c r="B988" s="40"/>
      <c r="C988" s="41"/>
      <c r="D988" s="42"/>
      <c r="E988" s="40"/>
      <c r="F988" s="43"/>
      <c r="G988" s="44"/>
      <c r="H988" s="45"/>
      <c r="I988" s="45"/>
      <c r="J988" s="46"/>
      <c r="K988" s="47"/>
      <c r="L988" s="48"/>
      <c r="M988" s="48"/>
      <c r="N988" s="48"/>
      <c r="S988" s="49"/>
    </row>
    <row r="989" customFormat="false" ht="15.75" hidden="false" customHeight="true" outlineLevel="0" collapsed="false">
      <c r="B989" s="40"/>
      <c r="C989" s="41"/>
      <c r="D989" s="42"/>
      <c r="E989" s="40"/>
      <c r="F989" s="43"/>
      <c r="G989" s="44"/>
      <c r="H989" s="45"/>
      <c r="I989" s="45"/>
      <c r="J989" s="46"/>
      <c r="K989" s="47"/>
      <c r="L989" s="48"/>
      <c r="M989" s="48"/>
      <c r="N989" s="48"/>
      <c r="S989" s="49"/>
    </row>
    <row r="990" customFormat="false" ht="15.75" hidden="false" customHeight="true" outlineLevel="0" collapsed="false">
      <c r="B990" s="40"/>
      <c r="C990" s="41"/>
      <c r="D990" s="42"/>
      <c r="E990" s="40"/>
      <c r="F990" s="43"/>
      <c r="G990" s="44"/>
      <c r="H990" s="45"/>
      <c r="I990" s="45"/>
      <c r="J990" s="46"/>
      <c r="K990" s="47"/>
      <c r="L990" s="48"/>
      <c r="M990" s="48"/>
      <c r="N990" s="48"/>
      <c r="S990" s="49"/>
    </row>
    <row r="991" customFormat="false" ht="15.75" hidden="false" customHeight="true" outlineLevel="0" collapsed="false">
      <c r="B991" s="40"/>
      <c r="C991" s="41"/>
      <c r="D991" s="42"/>
      <c r="E991" s="40"/>
      <c r="F991" s="43"/>
      <c r="G991" s="44"/>
      <c r="H991" s="45"/>
      <c r="I991" s="45"/>
      <c r="J991" s="46"/>
      <c r="K991" s="47"/>
      <c r="L991" s="48"/>
      <c r="M991" s="48"/>
      <c r="N991" s="48"/>
      <c r="S991" s="49"/>
    </row>
    <row r="992" customFormat="false" ht="15.75" hidden="false" customHeight="true" outlineLevel="0" collapsed="false">
      <c r="B992" s="40"/>
      <c r="C992" s="41"/>
      <c r="D992" s="42"/>
      <c r="E992" s="40"/>
      <c r="F992" s="43"/>
      <c r="G992" s="44"/>
      <c r="H992" s="45"/>
      <c r="I992" s="45"/>
      <c r="J992" s="46"/>
      <c r="K992" s="47"/>
      <c r="L992" s="48"/>
      <c r="M992" s="48"/>
      <c r="N992" s="48"/>
      <c r="S992" s="49"/>
    </row>
    <row r="993" customFormat="false" ht="15.75" hidden="false" customHeight="true" outlineLevel="0" collapsed="false">
      <c r="B993" s="40"/>
      <c r="C993" s="41"/>
      <c r="D993" s="42"/>
      <c r="E993" s="40"/>
      <c r="F993" s="43"/>
      <c r="G993" s="44"/>
      <c r="H993" s="45"/>
      <c r="I993" s="45"/>
      <c r="J993" s="46"/>
      <c r="K993" s="47"/>
      <c r="L993" s="48"/>
      <c r="M993" s="48"/>
      <c r="N993" s="48"/>
      <c r="S993" s="49"/>
    </row>
    <row r="994" customFormat="false" ht="15.75" hidden="false" customHeight="true" outlineLevel="0" collapsed="false">
      <c r="B994" s="40"/>
      <c r="C994" s="41"/>
      <c r="D994" s="42"/>
      <c r="E994" s="40"/>
      <c r="F994" s="43"/>
      <c r="G994" s="44"/>
      <c r="H994" s="45"/>
      <c r="I994" s="45"/>
      <c r="J994" s="46"/>
      <c r="K994" s="47"/>
      <c r="L994" s="48"/>
      <c r="M994" s="48"/>
      <c r="N994" s="48"/>
      <c r="S994" s="49"/>
    </row>
    <row r="995" customFormat="false" ht="15.75" hidden="false" customHeight="true" outlineLevel="0" collapsed="false">
      <c r="B995" s="40"/>
      <c r="C995" s="41"/>
      <c r="D995" s="42"/>
      <c r="E995" s="40"/>
      <c r="F995" s="43"/>
      <c r="G995" s="44"/>
      <c r="H995" s="45"/>
      <c r="I995" s="45"/>
      <c r="J995" s="46"/>
      <c r="K995" s="47"/>
      <c r="L995" s="48"/>
      <c r="M995" s="48"/>
      <c r="N995" s="48"/>
      <c r="S995" s="49"/>
    </row>
    <row r="996" customFormat="false" ht="15.75" hidden="false" customHeight="true" outlineLevel="0" collapsed="false">
      <c r="B996" s="40"/>
      <c r="C996" s="41"/>
      <c r="D996" s="42"/>
      <c r="E996" s="40"/>
      <c r="F996" s="43"/>
      <c r="G996" s="44"/>
      <c r="H996" s="45"/>
      <c r="I996" s="45"/>
      <c r="J996" s="46"/>
      <c r="K996" s="47"/>
      <c r="L996" s="48"/>
      <c r="M996" s="48"/>
      <c r="N996" s="48"/>
      <c r="S996" s="49"/>
    </row>
    <row r="997" customFormat="false" ht="15.75" hidden="false" customHeight="true" outlineLevel="0" collapsed="false">
      <c r="B997" s="40"/>
      <c r="C997" s="41"/>
      <c r="D997" s="42"/>
      <c r="E997" s="40"/>
      <c r="F997" s="43"/>
      <c r="G997" s="44"/>
      <c r="H997" s="45"/>
      <c r="I997" s="45"/>
      <c r="J997" s="46"/>
      <c r="K997" s="47"/>
      <c r="L997" s="48"/>
      <c r="M997" s="48"/>
      <c r="N997" s="48"/>
      <c r="S997" s="49"/>
    </row>
    <row r="998" customFormat="false" ht="15.75" hidden="false" customHeight="true" outlineLevel="0" collapsed="false">
      <c r="B998" s="40"/>
      <c r="C998" s="41"/>
      <c r="D998" s="42"/>
      <c r="E998" s="40"/>
      <c r="F998" s="43"/>
      <c r="G998" s="44"/>
      <c r="H998" s="45"/>
      <c r="I998" s="45"/>
      <c r="J998" s="46"/>
      <c r="K998" s="47"/>
      <c r="L998" s="48"/>
      <c r="M998" s="48"/>
      <c r="N998" s="48"/>
      <c r="S998" s="49"/>
    </row>
    <row r="999" customFormat="false" ht="15.75" hidden="false" customHeight="true" outlineLevel="0" collapsed="false">
      <c r="B999" s="40"/>
      <c r="C999" s="41"/>
      <c r="D999" s="42"/>
      <c r="E999" s="40"/>
      <c r="F999" s="43"/>
      <c r="G999" s="44"/>
      <c r="H999" s="45"/>
      <c r="I999" s="45"/>
      <c r="J999" s="46"/>
      <c r="K999" s="47"/>
      <c r="L999" s="48"/>
      <c r="M999" s="48"/>
      <c r="N999" s="48"/>
      <c r="S999" s="49"/>
    </row>
    <row r="1000" customFormat="false" ht="15.75" hidden="false" customHeight="true" outlineLevel="0" collapsed="false">
      <c r="B1000" s="40"/>
      <c r="C1000" s="41"/>
      <c r="D1000" s="42"/>
      <c r="E1000" s="40"/>
      <c r="F1000" s="43"/>
      <c r="G1000" s="44"/>
      <c r="H1000" s="45"/>
      <c r="I1000" s="45"/>
      <c r="J1000" s="46"/>
      <c r="K1000" s="47"/>
      <c r="L1000" s="48"/>
      <c r="M1000" s="48"/>
      <c r="N1000" s="48"/>
      <c r="S1000" s="49"/>
    </row>
    <row r="1001" customFormat="false" ht="15.75" hidden="false" customHeight="true" outlineLevel="0" collapsed="false">
      <c r="B1001" s="40"/>
      <c r="C1001" s="41"/>
      <c r="D1001" s="42"/>
      <c r="E1001" s="40"/>
      <c r="F1001" s="43"/>
      <c r="G1001" s="44"/>
      <c r="H1001" s="45"/>
      <c r="I1001" s="45"/>
      <c r="J1001" s="46"/>
      <c r="K1001" s="47"/>
      <c r="L1001" s="48"/>
      <c r="M1001" s="48"/>
      <c r="N1001" s="48"/>
      <c r="S1001" s="49"/>
    </row>
    <row r="1002" customFormat="false" ht="15.75" hidden="false" customHeight="true" outlineLevel="0" collapsed="false">
      <c r="B1002" s="40"/>
      <c r="C1002" s="41"/>
      <c r="D1002" s="42"/>
      <c r="E1002" s="40"/>
      <c r="F1002" s="43"/>
      <c r="G1002" s="44"/>
      <c r="H1002" s="45"/>
      <c r="I1002" s="45"/>
      <c r="J1002" s="46"/>
      <c r="K1002" s="47"/>
      <c r="L1002" s="48"/>
      <c r="M1002" s="48"/>
      <c r="N1002" s="48"/>
      <c r="S1002" s="49"/>
    </row>
    <row r="1003" customFormat="false" ht="15.75" hidden="false" customHeight="true" outlineLevel="0" collapsed="false">
      <c r="B1003" s="40"/>
      <c r="C1003" s="41"/>
      <c r="D1003" s="42"/>
      <c r="E1003" s="40"/>
      <c r="F1003" s="43"/>
      <c r="G1003" s="44"/>
      <c r="H1003" s="45"/>
      <c r="I1003" s="45"/>
      <c r="J1003" s="46"/>
      <c r="K1003" s="47"/>
      <c r="L1003" s="48"/>
      <c r="M1003" s="48"/>
      <c r="N1003" s="48"/>
      <c r="S1003" s="49"/>
    </row>
    <row r="1004" customFormat="false" ht="15.75" hidden="false" customHeight="true" outlineLevel="0" collapsed="false">
      <c r="B1004" s="40"/>
      <c r="C1004" s="41"/>
      <c r="D1004" s="42"/>
      <c r="E1004" s="40"/>
      <c r="F1004" s="43"/>
      <c r="G1004" s="44"/>
      <c r="H1004" s="45"/>
      <c r="I1004" s="45"/>
      <c r="J1004" s="46"/>
      <c r="K1004" s="47"/>
      <c r="L1004" s="48"/>
      <c r="M1004" s="48"/>
      <c r="N1004" s="48"/>
      <c r="S1004" s="49"/>
    </row>
    <row r="1005" customFormat="false" ht="15.75" hidden="false" customHeight="true" outlineLevel="0" collapsed="false">
      <c r="B1005" s="40"/>
      <c r="C1005" s="41"/>
      <c r="D1005" s="42"/>
      <c r="E1005" s="40"/>
      <c r="F1005" s="43"/>
      <c r="G1005" s="44"/>
      <c r="H1005" s="45"/>
      <c r="I1005" s="45"/>
      <c r="J1005" s="46"/>
      <c r="K1005" s="47"/>
      <c r="L1005" s="48"/>
      <c r="M1005" s="48"/>
      <c r="N1005" s="48"/>
      <c r="S1005" s="49"/>
    </row>
    <row r="1006" customFormat="false" ht="15.75" hidden="false" customHeight="true" outlineLevel="0" collapsed="false">
      <c r="B1006" s="40"/>
      <c r="C1006" s="41"/>
      <c r="D1006" s="42"/>
      <c r="E1006" s="40"/>
      <c r="F1006" s="43"/>
      <c r="G1006" s="44"/>
      <c r="H1006" s="45"/>
      <c r="I1006" s="45"/>
      <c r="J1006" s="46"/>
      <c r="K1006" s="47"/>
      <c r="L1006" s="48"/>
      <c r="M1006" s="48"/>
      <c r="N1006" s="48"/>
      <c r="S1006" s="49"/>
    </row>
    <row r="1007" customFormat="false" ht="15.75" hidden="false" customHeight="true" outlineLevel="0" collapsed="false">
      <c r="B1007" s="40"/>
      <c r="C1007" s="41"/>
      <c r="D1007" s="42"/>
      <c r="E1007" s="40"/>
      <c r="F1007" s="43"/>
      <c r="G1007" s="44"/>
      <c r="H1007" s="45"/>
      <c r="I1007" s="45"/>
      <c r="J1007" s="46"/>
      <c r="K1007" s="47"/>
      <c r="L1007" s="48"/>
      <c r="M1007" s="48"/>
      <c r="N1007" s="48"/>
      <c r="S1007" s="49"/>
    </row>
    <row r="1008" customFormat="false" ht="15.75" hidden="false" customHeight="true" outlineLevel="0" collapsed="false">
      <c r="B1008" s="40"/>
      <c r="C1008" s="41"/>
      <c r="D1008" s="42"/>
      <c r="E1008" s="40"/>
      <c r="F1008" s="43"/>
      <c r="G1008" s="44"/>
      <c r="H1008" s="45"/>
      <c r="I1008" s="45"/>
      <c r="J1008" s="46"/>
      <c r="K1008" s="47"/>
      <c r="L1008" s="48"/>
      <c r="M1008" s="48"/>
      <c r="N1008" s="48"/>
      <c r="S1008" s="49"/>
    </row>
    <row r="1009" customFormat="false" ht="15.75" hidden="false" customHeight="true" outlineLevel="0" collapsed="false">
      <c r="B1009" s="40"/>
      <c r="C1009" s="41"/>
      <c r="D1009" s="42"/>
      <c r="E1009" s="40"/>
      <c r="F1009" s="43"/>
      <c r="G1009" s="44"/>
      <c r="H1009" s="45"/>
      <c r="I1009" s="45"/>
      <c r="J1009" s="46"/>
      <c r="K1009" s="47"/>
      <c r="L1009" s="48"/>
      <c r="M1009" s="48"/>
      <c r="N1009" s="48"/>
      <c r="S1009" s="49"/>
    </row>
    <row r="1010" customFormat="false" ht="15.75" hidden="false" customHeight="true" outlineLevel="0" collapsed="false">
      <c r="B1010" s="40"/>
      <c r="C1010" s="41"/>
      <c r="D1010" s="42"/>
      <c r="E1010" s="40"/>
      <c r="F1010" s="43"/>
      <c r="G1010" s="44"/>
      <c r="H1010" s="45"/>
      <c r="I1010" s="45"/>
      <c r="J1010" s="46"/>
      <c r="K1010" s="47"/>
      <c r="L1010" s="48"/>
      <c r="M1010" s="48"/>
      <c r="N1010" s="48"/>
      <c r="S1010" s="49"/>
    </row>
    <row r="1011" customFormat="false" ht="15.75" hidden="false" customHeight="true" outlineLevel="0" collapsed="false">
      <c r="B1011" s="40"/>
      <c r="C1011" s="41"/>
      <c r="D1011" s="42"/>
      <c r="E1011" s="40"/>
      <c r="F1011" s="43"/>
      <c r="G1011" s="44"/>
      <c r="H1011" s="45"/>
      <c r="I1011" s="45"/>
      <c r="J1011" s="46"/>
      <c r="K1011" s="47"/>
      <c r="L1011" s="48"/>
      <c r="M1011" s="48"/>
      <c r="N1011" s="48"/>
      <c r="S1011" s="49"/>
    </row>
    <row r="1012" customFormat="false" ht="15.75" hidden="false" customHeight="true" outlineLevel="0" collapsed="false">
      <c r="B1012" s="40"/>
      <c r="C1012" s="41"/>
      <c r="D1012" s="42"/>
      <c r="E1012" s="40"/>
      <c r="F1012" s="43"/>
      <c r="G1012" s="44"/>
      <c r="H1012" s="45"/>
      <c r="I1012" s="45"/>
      <c r="J1012" s="46"/>
      <c r="K1012" s="47"/>
      <c r="L1012" s="48"/>
      <c r="M1012" s="48"/>
      <c r="N1012" s="48"/>
      <c r="S1012" s="49"/>
    </row>
    <row r="1013" customFormat="false" ht="15.75" hidden="false" customHeight="true" outlineLevel="0" collapsed="false">
      <c r="B1013" s="40"/>
      <c r="C1013" s="41"/>
      <c r="D1013" s="42"/>
      <c r="E1013" s="40"/>
      <c r="F1013" s="43"/>
      <c r="G1013" s="44"/>
      <c r="H1013" s="45"/>
      <c r="I1013" s="45"/>
      <c r="J1013" s="46"/>
      <c r="K1013" s="47"/>
      <c r="L1013" s="48"/>
      <c r="M1013" s="48"/>
      <c r="N1013" s="48"/>
      <c r="S1013" s="49"/>
    </row>
    <row r="1014" customFormat="false" ht="15.75" hidden="false" customHeight="true" outlineLevel="0" collapsed="false">
      <c r="B1014" s="40"/>
      <c r="C1014" s="41"/>
      <c r="D1014" s="42"/>
      <c r="E1014" s="40"/>
      <c r="F1014" s="43"/>
      <c r="G1014" s="44"/>
      <c r="H1014" s="45"/>
      <c r="I1014" s="45"/>
      <c r="J1014" s="46"/>
      <c r="K1014" s="47"/>
      <c r="L1014" s="48"/>
      <c r="M1014" s="48"/>
      <c r="N1014" s="48"/>
      <c r="S1014" s="49"/>
    </row>
    <row r="1015" customFormat="false" ht="15.75" hidden="false" customHeight="true" outlineLevel="0" collapsed="false">
      <c r="B1015" s="40"/>
      <c r="C1015" s="41"/>
      <c r="D1015" s="42"/>
      <c r="E1015" s="40"/>
      <c r="F1015" s="43"/>
      <c r="G1015" s="44"/>
      <c r="H1015" s="45"/>
      <c r="I1015" s="45"/>
      <c r="J1015" s="46"/>
      <c r="K1015" s="47"/>
      <c r="L1015" s="48"/>
      <c r="M1015" s="48"/>
      <c r="N1015" s="48"/>
      <c r="S1015" s="49"/>
    </row>
    <row r="1016" customFormat="false" ht="15.75" hidden="false" customHeight="true" outlineLevel="0" collapsed="false">
      <c r="B1016" s="40"/>
      <c r="C1016" s="41"/>
      <c r="D1016" s="42"/>
      <c r="E1016" s="40"/>
      <c r="F1016" s="43"/>
      <c r="G1016" s="44"/>
      <c r="H1016" s="45"/>
      <c r="I1016" s="45"/>
      <c r="J1016" s="46"/>
      <c r="K1016" s="47"/>
      <c r="L1016" s="48"/>
      <c r="M1016" s="48"/>
      <c r="N1016" s="48"/>
      <c r="S1016" s="49"/>
    </row>
    <row r="1017" customFormat="false" ht="15.75" hidden="false" customHeight="true" outlineLevel="0" collapsed="false">
      <c r="B1017" s="40"/>
      <c r="C1017" s="41"/>
      <c r="D1017" s="42"/>
      <c r="E1017" s="40"/>
      <c r="F1017" s="43"/>
      <c r="G1017" s="44"/>
      <c r="H1017" s="45"/>
      <c r="I1017" s="45"/>
      <c r="J1017" s="46"/>
      <c r="K1017" s="47"/>
      <c r="L1017" s="48"/>
      <c r="M1017" s="48"/>
      <c r="N1017" s="48"/>
      <c r="S1017" s="49"/>
    </row>
    <row r="1018" customFormat="false" ht="15.75" hidden="false" customHeight="true" outlineLevel="0" collapsed="false">
      <c r="B1018" s="40"/>
      <c r="C1018" s="41"/>
      <c r="D1018" s="42"/>
      <c r="E1018" s="40"/>
      <c r="F1018" s="43"/>
      <c r="G1018" s="44"/>
      <c r="H1018" s="45"/>
      <c r="I1018" s="45"/>
      <c r="J1018" s="46"/>
      <c r="K1018" s="47"/>
      <c r="L1018" s="48"/>
      <c r="M1018" s="48"/>
      <c r="N1018" s="48"/>
      <c r="S1018" s="49"/>
    </row>
    <row r="1019" customFormat="false" ht="15.75" hidden="false" customHeight="true" outlineLevel="0" collapsed="false">
      <c r="B1019" s="40"/>
      <c r="C1019" s="41"/>
      <c r="D1019" s="42"/>
      <c r="E1019" s="40"/>
      <c r="F1019" s="43"/>
      <c r="G1019" s="44"/>
      <c r="H1019" s="45"/>
      <c r="I1019" s="45"/>
      <c r="J1019" s="46"/>
      <c r="K1019" s="47"/>
      <c r="L1019" s="48"/>
      <c r="M1019" s="48"/>
      <c r="N1019" s="48"/>
      <c r="S1019" s="49"/>
    </row>
    <row r="1020" customFormat="false" ht="15.75" hidden="false" customHeight="true" outlineLevel="0" collapsed="false">
      <c r="B1020" s="40"/>
      <c r="C1020" s="41"/>
      <c r="D1020" s="42"/>
      <c r="E1020" s="40"/>
      <c r="F1020" s="43"/>
      <c r="G1020" s="44"/>
      <c r="H1020" s="45"/>
      <c r="I1020" s="45"/>
      <c r="J1020" s="46"/>
      <c r="K1020" s="47"/>
      <c r="L1020" s="48"/>
      <c r="M1020" s="48"/>
      <c r="N1020" s="48"/>
      <c r="S1020" s="49"/>
    </row>
    <row r="1021" customFormat="false" ht="15.75" hidden="false" customHeight="true" outlineLevel="0" collapsed="false">
      <c r="B1021" s="40"/>
      <c r="C1021" s="41"/>
      <c r="D1021" s="42"/>
      <c r="E1021" s="40"/>
      <c r="F1021" s="43"/>
      <c r="G1021" s="44"/>
      <c r="H1021" s="45"/>
      <c r="I1021" s="45"/>
      <c r="J1021" s="46"/>
      <c r="K1021" s="47"/>
      <c r="L1021" s="48"/>
      <c r="M1021" s="48"/>
      <c r="N1021" s="48"/>
      <c r="S1021" s="49"/>
    </row>
    <row r="1022" customFormat="false" ht="15.75" hidden="false" customHeight="true" outlineLevel="0" collapsed="false">
      <c r="B1022" s="40"/>
      <c r="C1022" s="41"/>
      <c r="D1022" s="42"/>
      <c r="E1022" s="40"/>
      <c r="F1022" s="43"/>
      <c r="G1022" s="44"/>
      <c r="H1022" s="45"/>
      <c r="I1022" s="45"/>
      <c r="J1022" s="46"/>
      <c r="K1022" s="47"/>
      <c r="L1022" s="48"/>
      <c r="M1022" s="48"/>
      <c r="N1022" s="48"/>
      <c r="S1022" s="49"/>
    </row>
    <row r="1023" customFormat="false" ht="15.75" hidden="false" customHeight="true" outlineLevel="0" collapsed="false">
      <c r="B1023" s="40"/>
      <c r="C1023" s="41"/>
      <c r="D1023" s="42"/>
      <c r="E1023" s="40"/>
      <c r="F1023" s="43"/>
      <c r="G1023" s="44"/>
      <c r="H1023" s="45"/>
      <c r="I1023" s="45"/>
      <c r="J1023" s="46"/>
      <c r="K1023" s="47"/>
      <c r="L1023" s="48"/>
      <c r="M1023" s="48"/>
      <c r="N1023" s="48"/>
      <c r="S1023" s="49"/>
    </row>
    <row r="1024" customFormat="false" ht="15.75" hidden="false" customHeight="true" outlineLevel="0" collapsed="false">
      <c r="B1024" s="40"/>
      <c r="C1024" s="41"/>
      <c r="D1024" s="42"/>
      <c r="E1024" s="40"/>
      <c r="F1024" s="43"/>
      <c r="G1024" s="44"/>
      <c r="H1024" s="45"/>
      <c r="I1024" s="45"/>
      <c r="J1024" s="46"/>
      <c r="K1024" s="47"/>
      <c r="L1024" s="48"/>
      <c r="M1024" s="48"/>
      <c r="N1024" s="48"/>
      <c r="S1024" s="49"/>
    </row>
    <row r="1025" customFormat="false" ht="15.75" hidden="false" customHeight="true" outlineLevel="0" collapsed="false">
      <c r="B1025" s="40"/>
      <c r="C1025" s="41"/>
      <c r="D1025" s="42"/>
      <c r="E1025" s="40"/>
      <c r="F1025" s="43"/>
      <c r="G1025" s="44"/>
      <c r="H1025" s="45"/>
      <c r="I1025" s="45"/>
      <c r="J1025" s="46"/>
      <c r="K1025" s="47"/>
      <c r="L1025" s="48"/>
      <c r="M1025" s="48"/>
      <c r="N1025" s="48"/>
      <c r="S1025" s="49"/>
    </row>
    <row r="1026" customFormat="false" ht="15.75" hidden="false" customHeight="true" outlineLevel="0" collapsed="false">
      <c r="B1026" s="40"/>
      <c r="C1026" s="41"/>
      <c r="D1026" s="42"/>
      <c r="E1026" s="40"/>
      <c r="F1026" s="43"/>
      <c r="G1026" s="44"/>
      <c r="H1026" s="45"/>
      <c r="I1026" s="45"/>
      <c r="J1026" s="46"/>
      <c r="K1026" s="47"/>
      <c r="L1026" s="48"/>
      <c r="M1026" s="48"/>
      <c r="N1026" s="48"/>
      <c r="S1026" s="49"/>
    </row>
    <row r="1027" customFormat="false" ht="15.75" hidden="false" customHeight="true" outlineLevel="0" collapsed="false">
      <c r="B1027" s="40"/>
      <c r="C1027" s="41"/>
      <c r="D1027" s="42"/>
      <c r="E1027" s="40"/>
      <c r="F1027" s="43"/>
      <c r="G1027" s="44"/>
      <c r="H1027" s="45"/>
      <c r="I1027" s="45"/>
      <c r="J1027" s="46"/>
      <c r="K1027" s="47"/>
      <c r="L1027" s="48"/>
      <c r="M1027" s="48"/>
      <c r="N1027" s="48"/>
      <c r="S1027" s="49"/>
    </row>
    <row r="1028" customFormat="false" ht="15.75" hidden="false" customHeight="true" outlineLevel="0" collapsed="false">
      <c r="B1028" s="40"/>
      <c r="C1028" s="41"/>
      <c r="D1028" s="42"/>
      <c r="E1028" s="40"/>
      <c r="F1028" s="43"/>
      <c r="G1028" s="44"/>
      <c r="H1028" s="45"/>
      <c r="I1028" s="45"/>
      <c r="J1028" s="46"/>
      <c r="K1028" s="47"/>
      <c r="L1028" s="48"/>
      <c r="M1028" s="48"/>
      <c r="N1028" s="48"/>
      <c r="S1028" s="49"/>
    </row>
    <row r="1029" customFormat="false" ht="15.75" hidden="false" customHeight="true" outlineLevel="0" collapsed="false">
      <c r="B1029" s="40"/>
      <c r="C1029" s="41"/>
      <c r="D1029" s="42"/>
      <c r="E1029" s="40"/>
      <c r="F1029" s="43"/>
      <c r="G1029" s="44"/>
      <c r="H1029" s="45"/>
      <c r="I1029" s="45"/>
      <c r="J1029" s="46"/>
      <c r="K1029" s="47"/>
      <c r="L1029" s="48"/>
      <c r="M1029" s="48"/>
      <c r="N1029" s="48"/>
      <c r="S1029" s="49"/>
    </row>
    <row r="1030" customFormat="false" ht="15.75" hidden="false" customHeight="true" outlineLevel="0" collapsed="false">
      <c r="B1030" s="40"/>
      <c r="C1030" s="41"/>
      <c r="D1030" s="42"/>
      <c r="E1030" s="40"/>
      <c r="F1030" s="43"/>
      <c r="G1030" s="44"/>
      <c r="H1030" s="45"/>
      <c r="I1030" s="45"/>
      <c r="J1030" s="46"/>
      <c r="K1030" s="47"/>
      <c r="L1030" s="48"/>
      <c r="M1030" s="48"/>
      <c r="N1030" s="48"/>
      <c r="S1030" s="49"/>
    </row>
    <row r="1031" customFormat="false" ht="15.75" hidden="false" customHeight="true" outlineLevel="0" collapsed="false">
      <c r="B1031" s="40"/>
      <c r="C1031" s="41"/>
      <c r="D1031" s="42"/>
      <c r="E1031" s="40"/>
      <c r="F1031" s="43"/>
      <c r="G1031" s="44"/>
      <c r="H1031" s="45"/>
      <c r="I1031" s="45"/>
      <c r="J1031" s="46"/>
      <c r="K1031" s="47"/>
      <c r="L1031" s="48"/>
      <c r="M1031" s="48"/>
      <c r="N1031" s="48"/>
      <c r="S1031" s="49"/>
    </row>
    <row r="1032" customFormat="false" ht="15.75" hidden="false" customHeight="true" outlineLevel="0" collapsed="false">
      <c r="B1032" s="40"/>
      <c r="C1032" s="41"/>
      <c r="D1032" s="42"/>
      <c r="E1032" s="40"/>
      <c r="F1032" s="43"/>
      <c r="G1032" s="44"/>
      <c r="H1032" s="45"/>
      <c r="I1032" s="45"/>
      <c r="J1032" s="46"/>
      <c r="K1032" s="47"/>
      <c r="L1032" s="48"/>
      <c r="M1032" s="48"/>
      <c r="N1032" s="48"/>
      <c r="S1032" s="49"/>
    </row>
    <row r="1033" customFormat="false" ht="15.75" hidden="false" customHeight="true" outlineLevel="0" collapsed="false">
      <c r="B1033" s="40"/>
      <c r="C1033" s="41"/>
      <c r="D1033" s="42"/>
      <c r="E1033" s="40"/>
      <c r="F1033" s="43"/>
      <c r="G1033" s="44"/>
      <c r="H1033" s="45"/>
      <c r="I1033" s="45"/>
      <c r="J1033" s="46"/>
      <c r="K1033" s="47"/>
      <c r="L1033" s="48"/>
      <c r="M1033" s="48"/>
      <c r="N1033" s="48"/>
      <c r="S1033" s="49"/>
    </row>
    <row r="1034" customFormat="false" ht="15.75" hidden="false" customHeight="true" outlineLevel="0" collapsed="false">
      <c r="B1034" s="40"/>
      <c r="C1034" s="41"/>
      <c r="D1034" s="42"/>
      <c r="E1034" s="40"/>
      <c r="F1034" s="43"/>
      <c r="G1034" s="44"/>
      <c r="H1034" s="45"/>
      <c r="I1034" s="45"/>
      <c r="J1034" s="46"/>
      <c r="K1034" s="47"/>
      <c r="L1034" s="48"/>
      <c r="M1034" s="48"/>
      <c r="N1034" s="48"/>
      <c r="S1034" s="49"/>
    </row>
    <row r="1035" customFormat="false" ht="15.75" hidden="false" customHeight="true" outlineLevel="0" collapsed="false">
      <c r="B1035" s="40"/>
      <c r="C1035" s="41"/>
      <c r="D1035" s="42"/>
      <c r="E1035" s="40"/>
      <c r="F1035" s="43"/>
      <c r="G1035" s="44"/>
      <c r="H1035" s="45"/>
      <c r="I1035" s="45"/>
      <c r="J1035" s="46"/>
      <c r="K1035" s="47"/>
      <c r="L1035" s="48"/>
      <c r="M1035" s="48"/>
      <c r="N1035" s="48"/>
      <c r="S1035" s="49"/>
    </row>
    <row r="1036" customFormat="false" ht="15.75" hidden="false" customHeight="true" outlineLevel="0" collapsed="false">
      <c r="B1036" s="40"/>
      <c r="C1036" s="41"/>
      <c r="D1036" s="42"/>
      <c r="E1036" s="40"/>
      <c r="F1036" s="43"/>
      <c r="G1036" s="44"/>
      <c r="H1036" s="45"/>
      <c r="I1036" s="45"/>
      <c r="J1036" s="46"/>
      <c r="K1036" s="47"/>
      <c r="L1036" s="48"/>
      <c r="M1036" s="48"/>
      <c r="N1036" s="48"/>
      <c r="S1036" s="49"/>
    </row>
    <row r="1037" customFormat="false" ht="15.75" hidden="false" customHeight="true" outlineLevel="0" collapsed="false">
      <c r="B1037" s="40"/>
      <c r="C1037" s="41"/>
      <c r="D1037" s="42"/>
      <c r="E1037" s="40"/>
      <c r="F1037" s="43"/>
      <c r="G1037" s="44"/>
      <c r="H1037" s="45"/>
      <c r="I1037" s="45"/>
      <c r="J1037" s="46"/>
      <c r="K1037" s="47"/>
      <c r="L1037" s="48"/>
      <c r="M1037" s="48"/>
      <c r="N1037" s="48"/>
      <c r="S1037" s="49"/>
    </row>
    <row r="1038" customFormat="false" ht="15.75" hidden="false" customHeight="true" outlineLevel="0" collapsed="false">
      <c r="B1038" s="40"/>
      <c r="C1038" s="41"/>
      <c r="D1038" s="42"/>
      <c r="E1038" s="40"/>
      <c r="F1038" s="43"/>
      <c r="G1038" s="44"/>
      <c r="H1038" s="45"/>
      <c r="I1038" s="45"/>
      <c r="J1038" s="46"/>
      <c r="K1038" s="47"/>
      <c r="L1038" s="48"/>
      <c r="M1038" s="48"/>
      <c r="N1038" s="48"/>
      <c r="S1038" s="49"/>
    </row>
    <row r="1039" customFormat="false" ht="15.75" hidden="false" customHeight="true" outlineLevel="0" collapsed="false">
      <c r="B1039" s="40"/>
      <c r="C1039" s="41"/>
      <c r="D1039" s="42"/>
      <c r="E1039" s="40"/>
      <c r="F1039" s="43"/>
      <c r="G1039" s="44"/>
      <c r="H1039" s="45"/>
      <c r="I1039" s="45"/>
      <c r="J1039" s="46"/>
      <c r="K1039" s="47"/>
      <c r="L1039" s="48"/>
      <c r="M1039" s="48"/>
      <c r="N1039" s="48"/>
      <c r="S1039" s="49"/>
    </row>
    <row r="1040" customFormat="false" ht="15.75" hidden="false" customHeight="true" outlineLevel="0" collapsed="false">
      <c r="B1040" s="40"/>
      <c r="C1040" s="41"/>
      <c r="D1040" s="42"/>
      <c r="E1040" s="40"/>
      <c r="F1040" s="43"/>
      <c r="G1040" s="44"/>
      <c r="H1040" s="45"/>
      <c r="I1040" s="45"/>
      <c r="J1040" s="46"/>
      <c r="K1040" s="47"/>
      <c r="L1040" s="48"/>
      <c r="M1040" s="48"/>
      <c r="N1040" s="48"/>
      <c r="S1040" s="49"/>
    </row>
    <row r="1041" customFormat="false" ht="15.75" hidden="false" customHeight="true" outlineLevel="0" collapsed="false">
      <c r="B1041" s="40"/>
      <c r="C1041" s="41"/>
      <c r="D1041" s="42"/>
      <c r="E1041" s="40"/>
      <c r="F1041" s="43"/>
      <c r="G1041" s="44"/>
      <c r="H1041" s="45"/>
      <c r="I1041" s="45"/>
      <c r="J1041" s="46"/>
      <c r="K1041" s="47"/>
      <c r="L1041" s="48"/>
      <c r="M1041" s="48"/>
      <c r="N1041" s="48"/>
      <c r="S1041" s="49"/>
    </row>
    <row r="1042" customFormat="false" ht="15.75" hidden="false" customHeight="true" outlineLevel="0" collapsed="false">
      <c r="B1042" s="40"/>
      <c r="C1042" s="41"/>
      <c r="D1042" s="42"/>
      <c r="E1042" s="40"/>
      <c r="F1042" s="43"/>
      <c r="G1042" s="44"/>
      <c r="H1042" s="45"/>
      <c r="I1042" s="45"/>
      <c r="J1042" s="46"/>
      <c r="K1042" s="47"/>
      <c r="L1042" s="48"/>
      <c r="M1042" s="48"/>
      <c r="N1042" s="48"/>
      <c r="S1042" s="49"/>
    </row>
    <row r="1043" customFormat="false" ht="15.75" hidden="false" customHeight="true" outlineLevel="0" collapsed="false">
      <c r="B1043" s="40"/>
      <c r="C1043" s="41"/>
      <c r="D1043" s="42"/>
      <c r="E1043" s="40"/>
      <c r="F1043" s="43"/>
      <c r="G1043" s="44"/>
      <c r="H1043" s="45"/>
      <c r="I1043" s="45"/>
      <c r="J1043" s="46"/>
      <c r="K1043" s="47"/>
      <c r="L1043" s="48"/>
      <c r="M1043" s="48"/>
      <c r="N1043" s="48"/>
      <c r="S1043" s="49"/>
    </row>
    <row r="1044" customFormat="false" ht="15.75" hidden="false" customHeight="true" outlineLevel="0" collapsed="false">
      <c r="B1044" s="40"/>
      <c r="C1044" s="41"/>
      <c r="D1044" s="42"/>
      <c r="E1044" s="40"/>
      <c r="F1044" s="43"/>
      <c r="G1044" s="44"/>
      <c r="H1044" s="45"/>
      <c r="I1044" s="45"/>
      <c r="J1044" s="46"/>
      <c r="K1044" s="47"/>
      <c r="L1044" s="48"/>
      <c r="M1044" s="48"/>
      <c r="N1044" s="48"/>
      <c r="S1044" s="49"/>
    </row>
    <row r="1045" customFormat="false" ht="15.75" hidden="false" customHeight="true" outlineLevel="0" collapsed="false">
      <c r="B1045" s="40"/>
      <c r="C1045" s="41"/>
      <c r="D1045" s="42"/>
      <c r="E1045" s="40"/>
      <c r="F1045" s="43"/>
      <c r="G1045" s="44"/>
      <c r="H1045" s="45"/>
      <c r="I1045" s="45"/>
      <c r="J1045" s="46"/>
      <c r="K1045" s="47"/>
      <c r="L1045" s="48"/>
      <c r="M1045" s="48"/>
      <c r="N1045" s="48"/>
      <c r="S1045" s="49"/>
    </row>
    <row r="1046" customFormat="false" ht="15.75" hidden="false" customHeight="true" outlineLevel="0" collapsed="false">
      <c r="B1046" s="40"/>
      <c r="C1046" s="41"/>
      <c r="D1046" s="42"/>
      <c r="E1046" s="40"/>
      <c r="F1046" s="43"/>
      <c r="G1046" s="44"/>
      <c r="H1046" s="45"/>
      <c r="I1046" s="45"/>
      <c r="J1046" s="46"/>
      <c r="K1046" s="47"/>
      <c r="L1046" s="48"/>
      <c r="M1046" s="48"/>
      <c r="N1046" s="48"/>
      <c r="S1046" s="49"/>
    </row>
    <row r="1047" customFormat="false" ht="15.75" hidden="false" customHeight="true" outlineLevel="0" collapsed="false">
      <c r="B1047" s="40"/>
      <c r="C1047" s="41"/>
      <c r="D1047" s="42"/>
      <c r="E1047" s="40"/>
      <c r="F1047" s="43"/>
      <c r="G1047" s="44"/>
      <c r="H1047" s="45"/>
      <c r="I1047" s="45"/>
      <c r="J1047" s="46"/>
      <c r="K1047" s="47"/>
      <c r="L1047" s="48"/>
      <c r="M1047" s="48"/>
      <c r="N1047" s="48"/>
      <c r="S1047" s="49"/>
    </row>
    <row r="1048" customFormat="false" ht="15.75" hidden="false" customHeight="true" outlineLevel="0" collapsed="false">
      <c r="B1048" s="40"/>
      <c r="C1048" s="41"/>
      <c r="D1048" s="42"/>
      <c r="E1048" s="40"/>
      <c r="F1048" s="43"/>
      <c r="G1048" s="44"/>
      <c r="H1048" s="45"/>
      <c r="I1048" s="45"/>
      <c r="J1048" s="46"/>
      <c r="K1048" s="47"/>
      <c r="L1048" s="48"/>
      <c r="M1048" s="48"/>
      <c r="N1048" s="48"/>
      <c r="S1048" s="49"/>
    </row>
    <row r="1049" customFormat="false" ht="15.75" hidden="false" customHeight="true" outlineLevel="0" collapsed="false">
      <c r="B1049" s="40"/>
      <c r="C1049" s="41"/>
      <c r="D1049" s="42"/>
      <c r="E1049" s="40"/>
      <c r="F1049" s="43"/>
      <c r="G1049" s="44"/>
      <c r="H1049" s="45"/>
      <c r="I1049" s="45"/>
      <c r="J1049" s="46"/>
      <c r="K1049" s="47"/>
      <c r="L1049" s="48"/>
      <c r="M1049" s="48"/>
      <c r="N1049" s="48"/>
      <c r="S1049" s="49"/>
    </row>
    <row r="1050" customFormat="false" ht="15.75" hidden="false" customHeight="true" outlineLevel="0" collapsed="false">
      <c r="B1050" s="40"/>
      <c r="C1050" s="41"/>
      <c r="D1050" s="42"/>
      <c r="E1050" s="40"/>
      <c r="F1050" s="43"/>
      <c r="G1050" s="44"/>
      <c r="H1050" s="45"/>
      <c r="I1050" s="45"/>
      <c r="J1050" s="46"/>
      <c r="K1050" s="47"/>
      <c r="L1050" s="48"/>
      <c r="M1050" s="48"/>
      <c r="N1050" s="48"/>
      <c r="S1050" s="49"/>
    </row>
    <row r="1051" customFormat="false" ht="15.75" hidden="false" customHeight="true" outlineLevel="0" collapsed="false">
      <c r="B1051" s="40"/>
      <c r="C1051" s="41"/>
      <c r="D1051" s="42"/>
      <c r="E1051" s="40"/>
      <c r="F1051" s="43"/>
      <c r="G1051" s="44"/>
      <c r="H1051" s="45"/>
      <c r="I1051" s="45"/>
      <c r="J1051" s="46"/>
      <c r="K1051" s="47"/>
      <c r="L1051" s="48"/>
      <c r="M1051" s="48"/>
      <c r="N1051" s="48"/>
      <c r="S1051" s="49"/>
    </row>
    <row r="1052" customFormat="false" ht="15.75" hidden="false" customHeight="true" outlineLevel="0" collapsed="false">
      <c r="B1052" s="40"/>
      <c r="C1052" s="41"/>
      <c r="D1052" s="42"/>
      <c r="E1052" s="40"/>
      <c r="F1052" s="43"/>
      <c r="G1052" s="44"/>
      <c r="H1052" s="45"/>
      <c r="I1052" s="45"/>
      <c r="J1052" s="46"/>
      <c r="K1052" s="47"/>
      <c r="L1052" s="48"/>
      <c r="M1052" s="48"/>
      <c r="N1052" s="48"/>
      <c r="S1052" s="49"/>
    </row>
    <row r="1053" customFormat="false" ht="15.75" hidden="false" customHeight="true" outlineLevel="0" collapsed="false">
      <c r="B1053" s="40"/>
      <c r="C1053" s="41"/>
      <c r="D1053" s="42"/>
      <c r="E1053" s="40"/>
      <c r="F1053" s="43"/>
      <c r="G1053" s="44"/>
      <c r="H1053" s="45"/>
      <c r="I1053" s="45"/>
      <c r="J1053" s="46"/>
      <c r="K1053" s="47"/>
      <c r="L1053" s="48"/>
      <c r="M1053" s="48"/>
      <c r="N1053" s="48"/>
      <c r="S1053" s="49"/>
    </row>
    <row r="1054" customFormat="false" ht="15.75" hidden="false" customHeight="true" outlineLevel="0" collapsed="false">
      <c r="B1054" s="40"/>
      <c r="C1054" s="41"/>
      <c r="D1054" s="42"/>
      <c r="E1054" s="40"/>
      <c r="F1054" s="43"/>
      <c r="G1054" s="44"/>
      <c r="H1054" s="45"/>
      <c r="I1054" s="45"/>
      <c r="J1054" s="46"/>
      <c r="K1054" s="47"/>
      <c r="L1054" s="48"/>
      <c r="M1054" s="48"/>
      <c r="N1054" s="48"/>
      <c r="S1054" s="49"/>
    </row>
    <row r="1055" customFormat="false" ht="15.75" hidden="false" customHeight="true" outlineLevel="0" collapsed="false">
      <c r="B1055" s="40"/>
      <c r="C1055" s="41"/>
      <c r="D1055" s="42"/>
      <c r="E1055" s="40"/>
      <c r="F1055" s="43"/>
      <c r="G1055" s="44"/>
      <c r="H1055" s="45"/>
      <c r="I1055" s="45"/>
      <c r="J1055" s="46"/>
      <c r="K1055" s="47"/>
      <c r="L1055" s="48"/>
      <c r="M1055" s="48"/>
      <c r="N1055" s="48"/>
      <c r="S1055" s="49"/>
    </row>
    <row r="1056" customFormat="false" ht="15.75" hidden="false" customHeight="true" outlineLevel="0" collapsed="false">
      <c r="B1056" s="40"/>
      <c r="C1056" s="41"/>
      <c r="D1056" s="42"/>
      <c r="E1056" s="40"/>
      <c r="F1056" s="43"/>
      <c r="G1056" s="44"/>
      <c r="H1056" s="45"/>
      <c r="I1056" s="45"/>
      <c r="J1056" s="46"/>
      <c r="K1056" s="47"/>
      <c r="L1056" s="48"/>
      <c r="M1056" s="48"/>
      <c r="N1056" s="48"/>
      <c r="S1056" s="49"/>
    </row>
    <row r="1057" customFormat="false" ht="15.75" hidden="false" customHeight="true" outlineLevel="0" collapsed="false">
      <c r="B1057" s="40"/>
      <c r="C1057" s="41"/>
      <c r="D1057" s="42"/>
      <c r="E1057" s="40"/>
      <c r="F1057" s="43"/>
      <c r="G1057" s="44"/>
      <c r="H1057" s="45"/>
      <c r="I1057" s="45"/>
      <c r="J1057" s="46"/>
      <c r="K1057" s="47"/>
      <c r="L1057" s="48"/>
      <c r="M1057" s="48"/>
      <c r="N1057" s="48"/>
      <c r="S1057" s="49"/>
    </row>
    <row r="1058" customFormat="false" ht="15.75" hidden="false" customHeight="true" outlineLevel="0" collapsed="false">
      <c r="B1058" s="40"/>
      <c r="C1058" s="41"/>
      <c r="D1058" s="42"/>
      <c r="E1058" s="40"/>
      <c r="F1058" s="43"/>
      <c r="G1058" s="44"/>
      <c r="H1058" s="45"/>
      <c r="I1058" s="45"/>
      <c r="J1058" s="46"/>
      <c r="K1058" s="47"/>
      <c r="L1058" s="48"/>
      <c r="M1058" s="48"/>
      <c r="N1058" s="48"/>
      <c r="S1058" s="49"/>
    </row>
    <row r="1059" customFormat="false" ht="15.75" hidden="false" customHeight="true" outlineLevel="0" collapsed="false">
      <c r="B1059" s="40"/>
      <c r="C1059" s="41"/>
      <c r="D1059" s="42"/>
      <c r="E1059" s="40"/>
      <c r="F1059" s="43"/>
      <c r="G1059" s="44"/>
      <c r="H1059" s="45"/>
      <c r="I1059" s="45"/>
      <c r="J1059" s="46"/>
      <c r="K1059" s="47"/>
      <c r="L1059" s="48"/>
      <c r="M1059" s="48"/>
      <c r="N1059" s="48"/>
      <c r="S1059" s="49"/>
    </row>
    <row r="1060" customFormat="false" ht="15.75" hidden="false" customHeight="true" outlineLevel="0" collapsed="false">
      <c r="B1060" s="40"/>
      <c r="C1060" s="41"/>
      <c r="D1060" s="42"/>
      <c r="E1060" s="40"/>
      <c r="F1060" s="43"/>
      <c r="G1060" s="44"/>
      <c r="H1060" s="45"/>
      <c r="I1060" s="45"/>
      <c r="J1060" s="46"/>
      <c r="K1060" s="47"/>
      <c r="L1060" s="48"/>
      <c r="M1060" s="48"/>
      <c r="N1060" s="48"/>
      <c r="S1060" s="49"/>
    </row>
    <row r="1061" customFormat="false" ht="15.75" hidden="false" customHeight="true" outlineLevel="0" collapsed="false">
      <c r="B1061" s="40"/>
      <c r="C1061" s="41"/>
      <c r="D1061" s="42"/>
      <c r="E1061" s="40"/>
      <c r="F1061" s="43"/>
      <c r="G1061" s="44"/>
      <c r="H1061" s="45"/>
      <c r="I1061" s="45"/>
      <c r="J1061" s="46"/>
      <c r="K1061" s="47"/>
      <c r="L1061" s="48"/>
      <c r="M1061" s="48"/>
      <c r="N1061" s="48"/>
      <c r="S1061" s="49"/>
    </row>
    <row r="1062" customFormat="false" ht="15.75" hidden="false" customHeight="true" outlineLevel="0" collapsed="false">
      <c r="B1062" s="40"/>
      <c r="C1062" s="41"/>
      <c r="D1062" s="42"/>
      <c r="E1062" s="40"/>
      <c r="F1062" s="43"/>
      <c r="G1062" s="44"/>
      <c r="H1062" s="45"/>
      <c r="I1062" s="45"/>
      <c r="J1062" s="46"/>
      <c r="K1062" s="47"/>
      <c r="L1062" s="48"/>
      <c r="M1062" s="48"/>
      <c r="N1062" s="48"/>
      <c r="S1062" s="49"/>
    </row>
    <row r="1063" customFormat="false" ht="15.75" hidden="false" customHeight="true" outlineLevel="0" collapsed="false">
      <c r="B1063" s="40"/>
      <c r="C1063" s="41"/>
      <c r="D1063" s="42"/>
      <c r="E1063" s="40"/>
      <c r="F1063" s="43"/>
      <c r="G1063" s="44"/>
      <c r="H1063" s="45"/>
      <c r="I1063" s="45"/>
      <c r="J1063" s="46"/>
      <c r="K1063" s="47"/>
      <c r="L1063" s="48"/>
      <c r="M1063" s="48"/>
      <c r="N1063" s="48"/>
      <c r="S1063" s="49"/>
    </row>
    <row r="1064" customFormat="false" ht="15.75" hidden="false" customHeight="true" outlineLevel="0" collapsed="false">
      <c r="B1064" s="40"/>
      <c r="C1064" s="41"/>
      <c r="D1064" s="42"/>
      <c r="E1064" s="40"/>
      <c r="F1064" s="43"/>
      <c r="G1064" s="44"/>
      <c r="H1064" s="45"/>
      <c r="I1064" s="45"/>
      <c r="J1064" s="46"/>
      <c r="K1064" s="47"/>
      <c r="L1064" s="48"/>
      <c r="M1064" s="48"/>
      <c r="N1064" s="48"/>
      <c r="S1064" s="49"/>
    </row>
    <row r="1065" customFormat="false" ht="15.75" hidden="false" customHeight="true" outlineLevel="0" collapsed="false">
      <c r="B1065" s="40"/>
      <c r="C1065" s="41"/>
      <c r="D1065" s="42"/>
      <c r="E1065" s="40"/>
      <c r="F1065" s="43"/>
      <c r="G1065" s="44"/>
      <c r="H1065" s="45"/>
      <c r="I1065" s="45"/>
      <c r="J1065" s="46"/>
      <c r="K1065" s="47"/>
      <c r="L1065" s="48"/>
      <c r="M1065" s="48"/>
      <c r="N1065" s="48"/>
      <c r="S1065" s="49"/>
    </row>
    <row r="1066" customFormat="false" ht="15.75" hidden="false" customHeight="true" outlineLevel="0" collapsed="false">
      <c r="B1066" s="40"/>
      <c r="C1066" s="41"/>
      <c r="D1066" s="42"/>
      <c r="E1066" s="40"/>
      <c r="F1066" s="43"/>
      <c r="G1066" s="44"/>
      <c r="H1066" s="45"/>
      <c r="I1066" s="45"/>
      <c r="J1066" s="46"/>
      <c r="K1066" s="47"/>
      <c r="L1066" s="48"/>
      <c r="M1066" s="48"/>
      <c r="N1066" s="48"/>
      <c r="S1066" s="49"/>
    </row>
    <row r="1067" customFormat="false" ht="15.75" hidden="false" customHeight="true" outlineLevel="0" collapsed="false">
      <c r="B1067" s="40"/>
      <c r="C1067" s="41"/>
      <c r="D1067" s="42"/>
      <c r="E1067" s="40"/>
      <c r="F1067" s="43"/>
      <c r="G1067" s="44"/>
      <c r="H1067" s="45"/>
      <c r="I1067" s="45"/>
      <c r="J1067" s="46"/>
      <c r="K1067" s="47"/>
      <c r="L1067" s="48"/>
      <c r="M1067" s="48"/>
      <c r="N1067" s="48"/>
      <c r="S1067" s="49"/>
    </row>
    <row r="1068" customFormat="false" ht="15.75" hidden="false" customHeight="true" outlineLevel="0" collapsed="false">
      <c r="B1068" s="40"/>
      <c r="C1068" s="41"/>
      <c r="D1068" s="42"/>
      <c r="E1068" s="40"/>
      <c r="F1068" s="43"/>
      <c r="G1068" s="44"/>
      <c r="H1068" s="45"/>
      <c r="I1068" s="45"/>
      <c r="J1068" s="46"/>
      <c r="K1068" s="47"/>
      <c r="L1068" s="48"/>
      <c r="M1068" s="48"/>
      <c r="N1068" s="48"/>
      <c r="S1068" s="49"/>
    </row>
    <row r="1069" customFormat="false" ht="15.75" hidden="false" customHeight="true" outlineLevel="0" collapsed="false">
      <c r="B1069" s="40"/>
      <c r="C1069" s="41"/>
      <c r="D1069" s="42"/>
      <c r="E1069" s="40"/>
      <c r="F1069" s="43"/>
      <c r="G1069" s="44"/>
      <c r="H1069" s="45"/>
      <c r="I1069" s="45"/>
      <c r="J1069" s="46"/>
      <c r="K1069" s="47"/>
      <c r="L1069" s="48"/>
      <c r="M1069" s="48"/>
      <c r="N1069" s="48"/>
      <c r="S1069" s="49"/>
    </row>
    <row r="1070" customFormat="false" ht="15.75" hidden="false" customHeight="true" outlineLevel="0" collapsed="false">
      <c r="B1070" s="40"/>
      <c r="C1070" s="41"/>
      <c r="D1070" s="42"/>
      <c r="E1070" s="40"/>
      <c r="F1070" s="43"/>
      <c r="G1070" s="44"/>
      <c r="H1070" s="45"/>
      <c r="I1070" s="45"/>
      <c r="J1070" s="46"/>
      <c r="K1070" s="47"/>
      <c r="L1070" s="48"/>
      <c r="M1070" s="48"/>
      <c r="N1070" s="48"/>
      <c r="S1070" s="49"/>
    </row>
    <row r="1071" customFormat="false" ht="15.75" hidden="false" customHeight="true" outlineLevel="0" collapsed="false">
      <c r="B1071" s="40"/>
      <c r="C1071" s="41"/>
      <c r="D1071" s="42"/>
      <c r="E1071" s="40"/>
      <c r="F1071" s="43"/>
      <c r="G1071" s="44"/>
      <c r="H1071" s="45"/>
      <c r="I1071" s="45"/>
      <c r="J1071" s="46"/>
      <c r="K1071" s="47"/>
      <c r="L1071" s="48"/>
      <c r="M1071" s="48"/>
      <c r="N1071" s="48"/>
      <c r="S1071" s="49"/>
    </row>
    <row r="1072" customFormat="false" ht="15.75" hidden="false" customHeight="true" outlineLevel="0" collapsed="false">
      <c r="B1072" s="40"/>
      <c r="C1072" s="41"/>
      <c r="D1072" s="42"/>
      <c r="E1072" s="40"/>
      <c r="F1072" s="43"/>
      <c r="G1072" s="44"/>
      <c r="H1072" s="45"/>
      <c r="I1072" s="45"/>
      <c r="J1072" s="46"/>
      <c r="K1072" s="47"/>
      <c r="L1072" s="48"/>
      <c r="M1072" s="48"/>
      <c r="N1072" s="48"/>
      <c r="S1072" s="49"/>
    </row>
    <row r="1073" customFormat="false" ht="15.75" hidden="false" customHeight="true" outlineLevel="0" collapsed="false">
      <c r="B1073" s="40"/>
      <c r="C1073" s="41"/>
      <c r="D1073" s="42"/>
      <c r="E1073" s="40"/>
      <c r="F1073" s="43"/>
      <c r="G1073" s="44"/>
      <c r="H1073" s="45"/>
      <c r="I1073" s="45"/>
      <c r="J1073" s="46"/>
      <c r="K1073" s="47"/>
      <c r="L1073" s="48"/>
      <c r="M1073" s="48"/>
      <c r="N1073" s="48"/>
      <c r="S1073" s="49"/>
    </row>
    <row r="1074" customFormat="false" ht="15.75" hidden="false" customHeight="true" outlineLevel="0" collapsed="false">
      <c r="B1074" s="40"/>
      <c r="C1074" s="41"/>
      <c r="D1074" s="42"/>
      <c r="E1074" s="40"/>
      <c r="F1074" s="43"/>
      <c r="G1074" s="44"/>
      <c r="H1074" s="45"/>
      <c r="I1074" s="45"/>
      <c r="J1074" s="46"/>
      <c r="K1074" s="47"/>
      <c r="L1074" s="48"/>
      <c r="M1074" s="48"/>
      <c r="N1074" s="48"/>
      <c r="S1074" s="49"/>
    </row>
    <row r="1075" customFormat="false" ht="15.75" hidden="false" customHeight="true" outlineLevel="0" collapsed="false">
      <c r="B1075" s="40"/>
      <c r="C1075" s="41"/>
      <c r="D1075" s="42"/>
      <c r="E1075" s="40"/>
      <c r="F1075" s="43"/>
      <c r="G1075" s="44"/>
      <c r="H1075" s="45"/>
      <c r="I1075" s="45"/>
      <c r="J1075" s="46"/>
      <c r="K1075" s="47"/>
      <c r="L1075" s="48"/>
      <c r="M1075" s="48"/>
      <c r="N1075" s="48"/>
      <c r="S1075" s="49"/>
    </row>
    <row r="1076" customFormat="false" ht="15.75" hidden="false" customHeight="true" outlineLevel="0" collapsed="false">
      <c r="B1076" s="40"/>
      <c r="C1076" s="41"/>
      <c r="D1076" s="42"/>
      <c r="E1076" s="40"/>
      <c r="F1076" s="43"/>
      <c r="G1076" s="44"/>
      <c r="H1076" s="45"/>
      <c r="I1076" s="45"/>
      <c r="J1076" s="46"/>
      <c r="K1076" s="47"/>
      <c r="L1076" s="48"/>
      <c r="M1076" s="48"/>
      <c r="N1076" s="48"/>
      <c r="S1076" s="49"/>
    </row>
    <row r="1077" customFormat="false" ht="15.75" hidden="false" customHeight="true" outlineLevel="0" collapsed="false">
      <c r="B1077" s="40"/>
      <c r="C1077" s="41"/>
      <c r="D1077" s="42"/>
      <c r="E1077" s="40"/>
      <c r="F1077" s="43"/>
      <c r="G1077" s="44"/>
      <c r="H1077" s="45"/>
      <c r="I1077" s="45"/>
      <c r="J1077" s="46"/>
      <c r="K1077" s="47"/>
      <c r="L1077" s="48"/>
      <c r="M1077" s="48"/>
      <c r="N1077" s="48"/>
      <c r="S1077" s="49"/>
    </row>
    <row r="1078" customFormat="false" ht="15.75" hidden="false" customHeight="true" outlineLevel="0" collapsed="false">
      <c r="B1078" s="40"/>
      <c r="C1078" s="41"/>
      <c r="D1078" s="42"/>
      <c r="E1078" s="40"/>
      <c r="F1078" s="43"/>
      <c r="G1078" s="44"/>
      <c r="H1078" s="45"/>
      <c r="I1078" s="45"/>
      <c r="J1078" s="46"/>
      <c r="K1078" s="47"/>
      <c r="L1078" s="48"/>
      <c r="M1078" s="48"/>
      <c r="N1078" s="48"/>
      <c r="S1078" s="49"/>
    </row>
    <row r="1079" customFormat="false" ht="15.75" hidden="false" customHeight="true" outlineLevel="0" collapsed="false">
      <c r="B1079" s="40"/>
      <c r="C1079" s="41"/>
      <c r="D1079" s="42"/>
      <c r="E1079" s="40"/>
      <c r="F1079" s="43"/>
      <c r="G1079" s="44"/>
      <c r="H1079" s="45"/>
      <c r="I1079" s="45"/>
      <c r="J1079" s="46"/>
      <c r="K1079" s="47"/>
      <c r="L1079" s="48"/>
      <c r="M1079" s="48"/>
      <c r="N1079" s="48"/>
      <c r="S1079" s="49"/>
    </row>
    <row r="1080" customFormat="false" ht="15.75" hidden="false" customHeight="true" outlineLevel="0" collapsed="false">
      <c r="B1080" s="40"/>
      <c r="C1080" s="41"/>
      <c r="D1080" s="42"/>
      <c r="E1080" s="40"/>
      <c r="F1080" s="43"/>
      <c r="G1080" s="44"/>
      <c r="H1080" s="45"/>
      <c r="I1080" s="45"/>
      <c r="J1080" s="46"/>
      <c r="K1080" s="47"/>
      <c r="L1080" s="48"/>
      <c r="M1080" s="48"/>
      <c r="N1080" s="48"/>
      <c r="S1080" s="49"/>
    </row>
    <row r="1081" customFormat="false" ht="15.75" hidden="false" customHeight="true" outlineLevel="0" collapsed="false">
      <c r="B1081" s="40"/>
      <c r="C1081" s="41"/>
      <c r="D1081" s="42"/>
      <c r="E1081" s="40"/>
      <c r="F1081" s="43"/>
      <c r="G1081" s="44"/>
      <c r="H1081" s="45"/>
      <c r="I1081" s="45"/>
      <c r="J1081" s="46"/>
      <c r="K1081" s="47"/>
      <c r="L1081" s="48"/>
      <c r="M1081" s="48"/>
      <c r="N1081" s="48"/>
      <c r="S1081" s="49"/>
    </row>
    <row r="1082" customFormat="false" ht="15.75" hidden="false" customHeight="true" outlineLevel="0" collapsed="false">
      <c r="B1082" s="40"/>
      <c r="C1082" s="41"/>
      <c r="D1082" s="42"/>
      <c r="E1082" s="40"/>
      <c r="F1082" s="43"/>
      <c r="G1082" s="44"/>
      <c r="H1082" s="45"/>
      <c r="I1082" s="45"/>
      <c r="J1082" s="46"/>
      <c r="K1082" s="47"/>
      <c r="L1082" s="48"/>
      <c r="M1082" s="48"/>
      <c r="N1082" s="48"/>
      <c r="S1082" s="49"/>
    </row>
    <row r="1083" customFormat="false" ht="15.75" hidden="false" customHeight="true" outlineLevel="0" collapsed="false">
      <c r="B1083" s="40"/>
      <c r="C1083" s="41"/>
      <c r="D1083" s="42"/>
      <c r="E1083" s="40"/>
      <c r="F1083" s="43"/>
      <c r="G1083" s="44"/>
      <c r="H1083" s="45"/>
      <c r="I1083" s="45"/>
      <c r="J1083" s="46"/>
      <c r="K1083" s="47"/>
      <c r="L1083" s="48"/>
      <c r="M1083" s="48"/>
      <c r="N1083" s="48"/>
      <c r="S1083" s="49"/>
    </row>
    <row r="1084" customFormat="false" ht="15.75" hidden="false" customHeight="true" outlineLevel="0" collapsed="false">
      <c r="B1084" s="40"/>
      <c r="C1084" s="41"/>
      <c r="D1084" s="42"/>
      <c r="E1084" s="40"/>
      <c r="F1084" s="43"/>
      <c r="G1084" s="44"/>
      <c r="H1084" s="45"/>
      <c r="I1084" s="45"/>
      <c r="J1084" s="46"/>
      <c r="K1084" s="47"/>
      <c r="L1084" s="48"/>
      <c r="M1084" s="48"/>
      <c r="N1084" s="48"/>
      <c r="S1084" s="49"/>
    </row>
    <row r="1085" customFormat="false" ht="15.75" hidden="false" customHeight="true" outlineLevel="0" collapsed="false">
      <c r="B1085" s="40"/>
      <c r="C1085" s="41"/>
      <c r="D1085" s="42"/>
      <c r="E1085" s="40"/>
      <c r="F1085" s="43"/>
      <c r="G1085" s="44"/>
      <c r="H1085" s="45"/>
      <c r="I1085" s="45"/>
      <c r="J1085" s="46"/>
      <c r="K1085" s="47"/>
      <c r="L1085" s="48"/>
      <c r="M1085" s="48"/>
      <c r="N1085" s="48"/>
      <c r="S1085" s="49"/>
    </row>
    <row r="1086" customFormat="false" ht="15.75" hidden="false" customHeight="true" outlineLevel="0" collapsed="false">
      <c r="B1086" s="40"/>
      <c r="C1086" s="41"/>
      <c r="D1086" s="42"/>
      <c r="E1086" s="40"/>
      <c r="F1086" s="43"/>
      <c r="G1086" s="44"/>
      <c r="H1086" s="45"/>
      <c r="I1086" s="45"/>
      <c r="J1086" s="46"/>
      <c r="K1086" s="47"/>
      <c r="L1086" s="48"/>
      <c r="M1086" s="48"/>
      <c r="N1086" s="48"/>
      <c r="S1086" s="49"/>
    </row>
    <row r="1087" customFormat="false" ht="15.75" hidden="false" customHeight="true" outlineLevel="0" collapsed="false">
      <c r="B1087" s="40"/>
      <c r="C1087" s="41"/>
      <c r="D1087" s="42"/>
      <c r="E1087" s="40"/>
      <c r="F1087" s="43"/>
      <c r="G1087" s="44"/>
      <c r="H1087" s="45"/>
      <c r="I1087" s="45"/>
      <c r="J1087" s="46"/>
      <c r="K1087" s="47"/>
      <c r="L1087" s="48"/>
      <c r="M1087" s="48"/>
      <c r="N1087" s="48"/>
      <c r="S1087" s="49"/>
    </row>
    <row r="1088" customFormat="false" ht="15.75" hidden="false" customHeight="true" outlineLevel="0" collapsed="false">
      <c r="B1088" s="40"/>
      <c r="C1088" s="41"/>
      <c r="D1088" s="42"/>
      <c r="E1088" s="40"/>
      <c r="F1088" s="43"/>
      <c r="G1088" s="44"/>
      <c r="H1088" s="45"/>
      <c r="I1088" s="45"/>
      <c r="J1088" s="46"/>
      <c r="K1088" s="47"/>
      <c r="L1088" s="48"/>
      <c r="M1088" s="48"/>
      <c r="N1088" s="48"/>
      <c r="S1088" s="49"/>
    </row>
    <row r="1089" customFormat="false" ht="15.75" hidden="false" customHeight="true" outlineLevel="0" collapsed="false">
      <c r="B1089" s="40"/>
      <c r="C1089" s="41"/>
      <c r="D1089" s="42"/>
      <c r="E1089" s="40"/>
      <c r="F1089" s="43"/>
      <c r="G1089" s="44"/>
      <c r="H1089" s="45"/>
      <c r="I1089" s="45"/>
      <c r="J1089" s="46"/>
      <c r="K1089" s="47"/>
      <c r="L1089" s="48"/>
      <c r="M1089" s="48"/>
      <c r="N1089" s="48"/>
      <c r="S1089" s="49"/>
    </row>
    <row r="1090" customFormat="false" ht="15.75" hidden="false" customHeight="true" outlineLevel="0" collapsed="false">
      <c r="B1090" s="40"/>
      <c r="C1090" s="41"/>
      <c r="D1090" s="42"/>
      <c r="E1090" s="40"/>
      <c r="F1090" s="43"/>
      <c r="G1090" s="44"/>
      <c r="H1090" s="45"/>
      <c r="I1090" s="45"/>
      <c r="J1090" s="46"/>
      <c r="K1090" s="47"/>
      <c r="L1090" s="48"/>
      <c r="M1090" s="48"/>
      <c r="N1090" s="48"/>
      <c r="S1090" s="49"/>
    </row>
    <row r="1091" customFormat="false" ht="15.75" hidden="false" customHeight="true" outlineLevel="0" collapsed="false">
      <c r="B1091" s="40"/>
      <c r="C1091" s="41"/>
      <c r="D1091" s="42"/>
      <c r="E1091" s="40"/>
      <c r="F1091" s="43"/>
      <c r="G1091" s="44"/>
      <c r="H1091" s="45"/>
      <c r="I1091" s="45"/>
      <c r="J1091" s="46"/>
      <c r="K1091" s="47"/>
      <c r="L1091" s="48"/>
      <c r="M1091" s="48"/>
      <c r="N1091" s="48"/>
      <c r="S1091" s="49"/>
    </row>
    <row r="1092" customFormat="false" ht="15.75" hidden="false" customHeight="true" outlineLevel="0" collapsed="false">
      <c r="B1092" s="40"/>
      <c r="C1092" s="41"/>
      <c r="D1092" s="42"/>
      <c r="E1092" s="40"/>
      <c r="F1092" s="43"/>
      <c r="G1092" s="44"/>
      <c r="H1092" s="45"/>
      <c r="I1092" s="45"/>
      <c r="J1092" s="46"/>
      <c r="K1092" s="47"/>
      <c r="L1092" s="48"/>
      <c r="M1092" s="48"/>
      <c r="N1092" s="48"/>
      <c r="S1092" s="49"/>
    </row>
    <row r="1093" customFormat="false" ht="15.75" hidden="false" customHeight="true" outlineLevel="0" collapsed="false">
      <c r="B1093" s="40"/>
      <c r="C1093" s="41"/>
      <c r="D1093" s="42"/>
      <c r="E1093" s="40"/>
      <c r="F1093" s="43"/>
      <c r="G1093" s="44"/>
      <c r="H1093" s="45"/>
      <c r="I1093" s="45"/>
      <c r="J1093" s="46"/>
      <c r="K1093" s="47"/>
      <c r="L1093" s="48"/>
      <c r="M1093" s="48"/>
      <c r="N1093" s="48"/>
      <c r="S1093" s="49"/>
    </row>
    <row r="1094" customFormat="false" ht="15.75" hidden="false" customHeight="true" outlineLevel="0" collapsed="false">
      <c r="B1094" s="40"/>
      <c r="C1094" s="41"/>
      <c r="D1094" s="42"/>
      <c r="E1094" s="40"/>
      <c r="F1094" s="43"/>
      <c r="G1094" s="44"/>
      <c r="H1094" s="45"/>
      <c r="I1094" s="45"/>
      <c r="J1094" s="46"/>
      <c r="K1094" s="47"/>
      <c r="L1094" s="48"/>
      <c r="M1094" s="48"/>
      <c r="N1094" s="48"/>
      <c r="S1094" s="49"/>
    </row>
    <row r="1095" customFormat="false" ht="15.75" hidden="false" customHeight="true" outlineLevel="0" collapsed="false">
      <c r="B1095" s="40"/>
      <c r="C1095" s="41"/>
      <c r="D1095" s="42"/>
      <c r="E1095" s="40"/>
      <c r="F1095" s="43"/>
      <c r="G1095" s="44"/>
      <c r="H1095" s="45"/>
      <c r="I1095" s="45"/>
      <c r="J1095" s="46"/>
      <c r="K1095" s="47"/>
      <c r="L1095" s="48"/>
      <c r="M1095" s="48"/>
      <c r="N1095" s="48"/>
      <c r="S1095" s="49"/>
    </row>
    <row r="1096" customFormat="false" ht="15.75" hidden="false" customHeight="true" outlineLevel="0" collapsed="false">
      <c r="B1096" s="40"/>
      <c r="C1096" s="41"/>
      <c r="D1096" s="42"/>
      <c r="E1096" s="40"/>
      <c r="F1096" s="43"/>
      <c r="G1096" s="44"/>
      <c r="H1096" s="45"/>
      <c r="I1096" s="45"/>
      <c r="J1096" s="46"/>
      <c r="K1096" s="47"/>
      <c r="L1096" s="48"/>
      <c r="M1096" s="48"/>
      <c r="N1096" s="48"/>
      <c r="S1096" s="49"/>
    </row>
    <row r="1097" customFormat="false" ht="15.75" hidden="false" customHeight="true" outlineLevel="0" collapsed="false">
      <c r="B1097" s="40"/>
      <c r="C1097" s="41"/>
      <c r="D1097" s="42"/>
      <c r="E1097" s="40"/>
      <c r="F1097" s="43"/>
      <c r="G1097" s="44"/>
      <c r="H1097" s="45"/>
      <c r="I1097" s="45"/>
      <c r="J1097" s="46"/>
      <c r="K1097" s="47"/>
      <c r="L1097" s="48"/>
      <c r="M1097" s="48"/>
      <c r="N1097" s="48"/>
      <c r="S1097" s="49"/>
    </row>
    <row r="1098" customFormat="false" ht="15.75" hidden="false" customHeight="true" outlineLevel="0" collapsed="false">
      <c r="B1098" s="40"/>
      <c r="C1098" s="41"/>
      <c r="D1098" s="42"/>
      <c r="E1098" s="40"/>
      <c r="F1098" s="43"/>
      <c r="G1098" s="44"/>
      <c r="H1098" s="45"/>
      <c r="I1098" s="45"/>
      <c r="J1098" s="46"/>
      <c r="K1098" s="47"/>
      <c r="L1098" s="48"/>
      <c r="M1098" s="48"/>
      <c r="N1098" s="48"/>
      <c r="S1098" s="49"/>
    </row>
    <row r="1099" customFormat="false" ht="15.75" hidden="false" customHeight="true" outlineLevel="0" collapsed="false">
      <c r="B1099" s="40"/>
      <c r="C1099" s="41"/>
      <c r="D1099" s="42"/>
      <c r="E1099" s="40"/>
      <c r="F1099" s="43"/>
      <c r="G1099" s="44"/>
      <c r="H1099" s="45"/>
      <c r="I1099" s="45"/>
      <c r="J1099" s="46"/>
      <c r="K1099" s="47"/>
      <c r="L1099" s="48"/>
      <c r="M1099" s="48"/>
      <c r="N1099" s="48"/>
      <c r="S1099" s="49"/>
    </row>
    <row r="1100" customFormat="false" ht="15.75" hidden="false" customHeight="true" outlineLevel="0" collapsed="false">
      <c r="B1100" s="40"/>
      <c r="C1100" s="41"/>
      <c r="D1100" s="42"/>
      <c r="E1100" s="40"/>
      <c r="F1100" s="43"/>
      <c r="G1100" s="44"/>
      <c r="H1100" s="45"/>
      <c r="I1100" s="45"/>
      <c r="J1100" s="46"/>
      <c r="K1100" s="47"/>
      <c r="L1100" s="48"/>
      <c r="M1100" s="48"/>
      <c r="N1100" s="48"/>
      <c r="S1100" s="49"/>
    </row>
    <row r="1101" customFormat="false" ht="15.75" hidden="false" customHeight="true" outlineLevel="0" collapsed="false">
      <c r="B1101" s="40"/>
      <c r="C1101" s="41"/>
      <c r="D1101" s="42"/>
      <c r="E1101" s="40"/>
      <c r="F1101" s="43"/>
      <c r="G1101" s="44"/>
      <c r="H1101" s="45"/>
      <c r="I1101" s="45"/>
      <c r="J1101" s="46"/>
      <c r="K1101" s="47"/>
      <c r="L1101" s="48"/>
      <c r="M1101" s="48"/>
      <c r="N1101" s="48"/>
      <c r="S1101" s="49"/>
    </row>
    <row r="1102" customFormat="false" ht="15.75" hidden="false" customHeight="true" outlineLevel="0" collapsed="false">
      <c r="B1102" s="40"/>
      <c r="C1102" s="41"/>
      <c r="D1102" s="42"/>
      <c r="E1102" s="40"/>
      <c r="F1102" s="43"/>
      <c r="G1102" s="44"/>
      <c r="H1102" s="45"/>
      <c r="I1102" s="45"/>
      <c r="J1102" s="46"/>
      <c r="K1102" s="47"/>
      <c r="L1102" s="48"/>
      <c r="M1102" s="48"/>
      <c r="N1102" s="48"/>
      <c r="S1102" s="49"/>
    </row>
    <row r="1103" customFormat="false" ht="15.75" hidden="false" customHeight="true" outlineLevel="0" collapsed="false">
      <c r="B1103" s="40"/>
      <c r="C1103" s="41"/>
      <c r="D1103" s="42"/>
      <c r="E1103" s="40"/>
      <c r="F1103" s="43"/>
      <c r="G1103" s="44"/>
      <c r="H1103" s="45"/>
      <c r="I1103" s="45"/>
      <c r="J1103" s="46"/>
      <c r="K1103" s="47"/>
      <c r="L1103" s="48"/>
      <c r="M1103" s="48"/>
      <c r="N1103" s="48"/>
      <c r="S1103" s="49"/>
    </row>
    <row r="1104" customFormat="false" ht="15.75" hidden="false" customHeight="true" outlineLevel="0" collapsed="false">
      <c r="B1104" s="40"/>
      <c r="C1104" s="41"/>
      <c r="D1104" s="42"/>
      <c r="E1104" s="40"/>
      <c r="F1104" s="43"/>
      <c r="G1104" s="44"/>
      <c r="H1104" s="45"/>
      <c r="I1104" s="45"/>
      <c r="J1104" s="46"/>
      <c r="K1104" s="47"/>
      <c r="L1104" s="48"/>
      <c r="M1104" s="48"/>
      <c r="N1104" s="48"/>
      <c r="S1104" s="49"/>
    </row>
    <row r="1105" customFormat="false" ht="15.75" hidden="false" customHeight="true" outlineLevel="0" collapsed="false">
      <c r="B1105" s="40"/>
      <c r="C1105" s="41"/>
      <c r="D1105" s="42"/>
      <c r="E1105" s="40"/>
      <c r="F1105" s="43"/>
      <c r="G1105" s="44"/>
      <c r="H1105" s="45"/>
      <c r="I1105" s="45"/>
      <c r="J1105" s="46"/>
      <c r="K1105" s="47"/>
      <c r="L1105" s="48"/>
      <c r="M1105" s="48"/>
      <c r="N1105" s="48"/>
      <c r="S1105" s="49"/>
    </row>
    <row r="1106" customFormat="false" ht="15.75" hidden="false" customHeight="true" outlineLevel="0" collapsed="false">
      <c r="B1106" s="40"/>
      <c r="C1106" s="41"/>
      <c r="D1106" s="42"/>
      <c r="E1106" s="40"/>
      <c r="F1106" s="43"/>
      <c r="G1106" s="44"/>
      <c r="H1106" s="45"/>
      <c r="I1106" s="45"/>
      <c r="J1106" s="46"/>
      <c r="K1106" s="47"/>
      <c r="L1106" s="48"/>
      <c r="M1106" s="48"/>
      <c r="N1106" s="48"/>
      <c r="S1106" s="49"/>
    </row>
    <row r="1107" customFormat="false" ht="15.75" hidden="false" customHeight="true" outlineLevel="0" collapsed="false">
      <c r="B1107" s="40"/>
      <c r="C1107" s="41"/>
      <c r="D1107" s="42"/>
      <c r="E1107" s="40"/>
      <c r="F1107" s="43"/>
      <c r="G1107" s="44"/>
      <c r="H1107" s="45"/>
      <c r="I1107" s="45"/>
      <c r="J1107" s="46"/>
      <c r="K1107" s="47"/>
      <c r="L1107" s="48"/>
      <c r="M1107" s="48"/>
      <c r="N1107" s="48"/>
      <c r="S1107" s="49"/>
    </row>
    <row r="1108" customFormat="false" ht="15.75" hidden="false" customHeight="true" outlineLevel="0" collapsed="false">
      <c r="B1108" s="40"/>
      <c r="C1108" s="41"/>
      <c r="D1108" s="42"/>
      <c r="E1108" s="40"/>
      <c r="F1108" s="43"/>
      <c r="G1108" s="44"/>
      <c r="H1108" s="45"/>
      <c r="I1108" s="45"/>
      <c r="J1108" s="46"/>
      <c r="K1108" s="47"/>
      <c r="L1108" s="48"/>
      <c r="M1108" s="48"/>
      <c r="N1108" s="48"/>
      <c r="S1108" s="49"/>
    </row>
    <row r="1109" customFormat="false" ht="15.75" hidden="false" customHeight="true" outlineLevel="0" collapsed="false">
      <c r="B1109" s="40"/>
      <c r="C1109" s="41"/>
      <c r="D1109" s="42"/>
      <c r="E1109" s="40"/>
      <c r="F1109" s="43"/>
      <c r="G1109" s="44"/>
      <c r="H1109" s="45"/>
      <c r="I1109" s="45"/>
      <c r="J1109" s="46"/>
      <c r="K1109" s="47"/>
      <c r="L1109" s="48"/>
      <c r="M1109" s="48"/>
      <c r="N1109" s="48"/>
      <c r="S1109" s="49"/>
    </row>
    <row r="1110" customFormat="false" ht="15.75" hidden="false" customHeight="true" outlineLevel="0" collapsed="false">
      <c r="B1110" s="40"/>
      <c r="C1110" s="41"/>
      <c r="D1110" s="42"/>
      <c r="E1110" s="40"/>
      <c r="F1110" s="43"/>
      <c r="G1110" s="44"/>
      <c r="H1110" s="45"/>
      <c r="I1110" s="45"/>
      <c r="J1110" s="46"/>
      <c r="K1110" s="47"/>
      <c r="L1110" s="48"/>
      <c r="M1110" s="48"/>
      <c r="N1110" s="48"/>
      <c r="S1110" s="49"/>
    </row>
    <row r="1111" customFormat="false" ht="15.75" hidden="false" customHeight="true" outlineLevel="0" collapsed="false">
      <c r="B1111" s="40"/>
      <c r="C1111" s="41"/>
      <c r="D1111" s="42"/>
      <c r="E1111" s="40"/>
      <c r="F1111" s="43"/>
      <c r="G1111" s="44"/>
      <c r="H1111" s="45"/>
      <c r="I1111" s="45"/>
      <c r="J1111" s="46"/>
      <c r="K1111" s="47"/>
      <c r="L1111" s="48"/>
      <c r="M1111" s="48"/>
      <c r="N1111" s="48"/>
      <c r="S1111" s="49"/>
    </row>
    <row r="1112" customFormat="false" ht="15.75" hidden="false" customHeight="true" outlineLevel="0" collapsed="false">
      <c r="B1112" s="40"/>
      <c r="C1112" s="41"/>
      <c r="D1112" s="42"/>
      <c r="E1112" s="40"/>
      <c r="F1112" s="43"/>
      <c r="G1112" s="44"/>
      <c r="H1112" s="45"/>
      <c r="I1112" s="45"/>
      <c r="J1112" s="46"/>
      <c r="K1112" s="47"/>
      <c r="L1112" s="48"/>
      <c r="M1112" s="48"/>
      <c r="N1112" s="48"/>
      <c r="S1112" s="49"/>
    </row>
    <row r="1113" customFormat="false" ht="15.75" hidden="false" customHeight="true" outlineLevel="0" collapsed="false">
      <c r="B1113" s="40"/>
      <c r="C1113" s="41"/>
      <c r="D1113" s="42"/>
      <c r="E1113" s="40"/>
      <c r="F1113" s="43"/>
      <c r="G1113" s="44"/>
      <c r="H1113" s="45"/>
      <c r="I1113" s="45"/>
      <c r="J1113" s="46"/>
      <c r="K1113" s="47"/>
      <c r="L1113" s="48"/>
      <c r="M1113" s="48"/>
      <c r="N1113" s="48"/>
      <c r="S1113" s="49"/>
    </row>
    <row r="1114" customFormat="false" ht="15.75" hidden="false" customHeight="true" outlineLevel="0" collapsed="false">
      <c r="B1114" s="40"/>
      <c r="C1114" s="41"/>
      <c r="D1114" s="42"/>
      <c r="E1114" s="40"/>
      <c r="F1114" s="43"/>
      <c r="G1114" s="44"/>
      <c r="H1114" s="45"/>
      <c r="I1114" s="45"/>
      <c r="J1114" s="46"/>
      <c r="K1114" s="47"/>
      <c r="L1114" s="48"/>
      <c r="M1114" s="48"/>
      <c r="N1114" s="48"/>
      <c r="S1114" s="49"/>
    </row>
    <row r="1115" customFormat="false" ht="15.75" hidden="false" customHeight="true" outlineLevel="0" collapsed="false">
      <c r="B1115" s="40"/>
      <c r="C1115" s="41"/>
      <c r="D1115" s="42"/>
      <c r="E1115" s="40"/>
      <c r="F1115" s="43"/>
      <c r="G1115" s="44"/>
      <c r="H1115" s="45"/>
      <c r="I1115" s="45"/>
      <c r="J1115" s="46"/>
      <c r="K1115" s="47"/>
      <c r="L1115" s="48"/>
      <c r="M1115" s="48"/>
      <c r="N1115" s="48"/>
      <c r="S1115" s="49"/>
    </row>
    <row r="1116" customFormat="false" ht="15.75" hidden="false" customHeight="true" outlineLevel="0" collapsed="false">
      <c r="B1116" s="40"/>
      <c r="C1116" s="41"/>
      <c r="D1116" s="42"/>
      <c r="E1116" s="40"/>
      <c r="F1116" s="43"/>
      <c r="G1116" s="44"/>
      <c r="H1116" s="45"/>
      <c r="I1116" s="45"/>
      <c r="J1116" s="46"/>
      <c r="K1116" s="47"/>
      <c r="L1116" s="48"/>
      <c r="M1116" s="48"/>
      <c r="N1116" s="48"/>
      <c r="S1116" s="49"/>
    </row>
    <row r="1117" customFormat="false" ht="15.75" hidden="false" customHeight="true" outlineLevel="0" collapsed="false">
      <c r="B1117" s="40"/>
      <c r="C1117" s="41"/>
      <c r="D1117" s="42"/>
      <c r="E1117" s="40"/>
      <c r="F1117" s="43"/>
      <c r="G1117" s="44"/>
      <c r="H1117" s="45"/>
      <c r="I1117" s="45"/>
      <c r="J1117" s="46"/>
      <c r="K1117" s="47"/>
      <c r="L1117" s="48"/>
      <c r="M1117" s="48"/>
      <c r="N1117" s="48"/>
      <c r="S1117" s="49"/>
    </row>
    <row r="1118" customFormat="false" ht="15.75" hidden="false" customHeight="true" outlineLevel="0" collapsed="false">
      <c r="B1118" s="40"/>
      <c r="C1118" s="41"/>
      <c r="D1118" s="42"/>
      <c r="E1118" s="40"/>
      <c r="F1118" s="43"/>
      <c r="G1118" s="44"/>
      <c r="H1118" s="45"/>
      <c r="I1118" s="45"/>
      <c r="J1118" s="46"/>
      <c r="K1118" s="47"/>
      <c r="L1118" s="48"/>
      <c r="M1118" s="48"/>
      <c r="N1118" s="48"/>
      <c r="S1118" s="49"/>
    </row>
    <row r="1119" customFormat="false" ht="15.75" hidden="false" customHeight="true" outlineLevel="0" collapsed="false">
      <c r="B1119" s="40"/>
      <c r="C1119" s="41"/>
      <c r="D1119" s="42"/>
      <c r="E1119" s="40"/>
      <c r="F1119" s="43"/>
      <c r="G1119" s="44"/>
      <c r="H1119" s="45"/>
      <c r="I1119" s="45"/>
      <c r="J1119" s="46"/>
      <c r="K1119" s="47"/>
      <c r="L1119" s="48"/>
      <c r="M1119" s="48"/>
      <c r="N1119" s="48"/>
      <c r="S1119" s="49"/>
    </row>
    <row r="1120" customFormat="false" ht="15.75" hidden="false" customHeight="true" outlineLevel="0" collapsed="false">
      <c r="B1120" s="40"/>
      <c r="C1120" s="41"/>
      <c r="D1120" s="42"/>
      <c r="E1120" s="40"/>
      <c r="F1120" s="43"/>
      <c r="G1120" s="44"/>
      <c r="H1120" s="45"/>
      <c r="I1120" s="45"/>
      <c r="J1120" s="46"/>
      <c r="K1120" s="47"/>
      <c r="L1120" s="48"/>
      <c r="M1120" s="48"/>
      <c r="N1120" s="48"/>
      <c r="S1120" s="49"/>
    </row>
    <row r="1121" customFormat="false" ht="15.75" hidden="false" customHeight="true" outlineLevel="0" collapsed="false">
      <c r="B1121" s="40"/>
      <c r="C1121" s="41"/>
      <c r="D1121" s="42"/>
      <c r="E1121" s="40"/>
      <c r="F1121" s="43"/>
      <c r="G1121" s="44"/>
      <c r="H1121" s="45"/>
      <c r="I1121" s="45"/>
      <c r="J1121" s="46"/>
      <c r="K1121" s="47"/>
      <c r="L1121" s="48"/>
      <c r="M1121" s="48"/>
      <c r="N1121" s="48"/>
      <c r="S1121" s="49"/>
    </row>
    <row r="1122" customFormat="false" ht="15.75" hidden="false" customHeight="true" outlineLevel="0" collapsed="false">
      <c r="B1122" s="40"/>
      <c r="C1122" s="41"/>
      <c r="D1122" s="42"/>
      <c r="E1122" s="40"/>
      <c r="F1122" s="43"/>
      <c r="G1122" s="44"/>
      <c r="H1122" s="45"/>
      <c r="I1122" s="45"/>
      <c r="J1122" s="46"/>
      <c r="K1122" s="47"/>
      <c r="L1122" s="48"/>
      <c r="M1122" s="48"/>
      <c r="N1122" s="48"/>
      <c r="S1122" s="49"/>
    </row>
    <row r="1123" customFormat="false" ht="15.75" hidden="false" customHeight="true" outlineLevel="0" collapsed="false">
      <c r="B1123" s="40"/>
      <c r="C1123" s="41"/>
      <c r="D1123" s="42"/>
      <c r="E1123" s="40"/>
      <c r="F1123" s="43"/>
      <c r="G1123" s="44"/>
      <c r="H1123" s="45"/>
      <c r="I1123" s="45"/>
      <c r="J1123" s="46"/>
      <c r="K1123" s="47"/>
      <c r="L1123" s="48"/>
      <c r="M1123" s="48"/>
      <c r="N1123" s="48"/>
      <c r="S1123" s="49"/>
    </row>
    <row r="1124" customFormat="false" ht="15.75" hidden="false" customHeight="true" outlineLevel="0" collapsed="false">
      <c r="B1124" s="40"/>
      <c r="C1124" s="41"/>
      <c r="D1124" s="42"/>
      <c r="E1124" s="40"/>
      <c r="F1124" s="43"/>
      <c r="G1124" s="44"/>
      <c r="H1124" s="45"/>
      <c r="I1124" s="45"/>
      <c r="J1124" s="46"/>
      <c r="K1124" s="47"/>
      <c r="L1124" s="48"/>
      <c r="M1124" s="48"/>
      <c r="N1124" s="48"/>
      <c r="S1124" s="49"/>
    </row>
    <row r="1125" customFormat="false" ht="15.75" hidden="false" customHeight="true" outlineLevel="0" collapsed="false">
      <c r="B1125" s="40"/>
      <c r="C1125" s="41"/>
      <c r="D1125" s="42"/>
      <c r="E1125" s="40"/>
      <c r="F1125" s="43"/>
      <c r="G1125" s="44"/>
      <c r="H1125" s="45"/>
      <c r="I1125" s="45"/>
      <c r="J1125" s="46"/>
      <c r="K1125" s="47"/>
      <c r="L1125" s="48"/>
      <c r="M1125" s="48"/>
      <c r="N1125" s="48"/>
      <c r="S1125" s="49"/>
    </row>
    <row r="1126" customFormat="false" ht="15.75" hidden="false" customHeight="true" outlineLevel="0" collapsed="false">
      <c r="B1126" s="40"/>
      <c r="C1126" s="41"/>
      <c r="D1126" s="42"/>
      <c r="E1126" s="40"/>
      <c r="F1126" s="43"/>
      <c r="G1126" s="44"/>
      <c r="H1126" s="45"/>
      <c r="I1126" s="45"/>
      <c r="J1126" s="46"/>
      <c r="K1126" s="47"/>
      <c r="L1126" s="48"/>
      <c r="M1126" s="48"/>
      <c r="N1126" s="48"/>
      <c r="S1126" s="49"/>
    </row>
    <row r="1127" customFormat="false" ht="15.75" hidden="false" customHeight="true" outlineLevel="0" collapsed="false">
      <c r="B1127" s="40"/>
      <c r="C1127" s="41"/>
      <c r="D1127" s="42"/>
      <c r="E1127" s="40"/>
      <c r="F1127" s="43"/>
      <c r="G1127" s="44"/>
      <c r="H1127" s="45"/>
      <c r="I1127" s="45"/>
      <c r="J1127" s="46"/>
      <c r="K1127" s="47"/>
      <c r="L1127" s="48"/>
      <c r="M1127" s="48"/>
      <c r="N1127" s="48"/>
      <c r="S1127" s="49"/>
    </row>
    <row r="1128" customFormat="false" ht="15.75" hidden="false" customHeight="true" outlineLevel="0" collapsed="false">
      <c r="B1128" s="40"/>
      <c r="C1128" s="41"/>
      <c r="D1128" s="42"/>
      <c r="E1128" s="40"/>
      <c r="F1128" s="43"/>
      <c r="G1128" s="44"/>
      <c r="H1128" s="45"/>
      <c r="I1128" s="45"/>
      <c r="J1128" s="46"/>
      <c r="K1128" s="47"/>
      <c r="L1128" s="48"/>
      <c r="M1128" s="48"/>
      <c r="N1128" s="48"/>
      <c r="S1128" s="49"/>
    </row>
    <row r="1129" customFormat="false" ht="15.75" hidden="false" customHeight="true" outlineLevel="0" collapsed="false">
      <c r="B1129" s="40"/>
      <c r="C1129" s="41"/>
      <c r="D1129" s="42"/>
      <c r="E1129" s="40"/>
      <c r="F1129" s="43"/>
      <c r="G1129" s="44"/>
      <c r="H1129" s="45"/>
      <c r="I1129" s="45"/>
      <c r="J1129" s="46"/>
      <c r="K1129" s="47"/>
      <c r="L1129" s="48"/>
      <c r="M1129" s="48"/>
      <c r="N1129" s="48"/>
      <c r="S1129" s="49"/>
    </row>
    <row r="1130" customFormat="false" ht="15.75" hidden="false" customHeight="true" outlineLevel="0" collapsed="false">
      <c r="B1130" s="40"/>
      <c r="C1130" s="41"/>
      <c r="D1130" s="42"/>
      <c r="E1130" s="40"/>
      <c r="F1130" s="43"/>
      <c r="G1130" s="44"/>
      <c r="H1130" s="45"/>
      <c r="I1130" s="45"/>
      <c r="J1130" s="46"/>
      <c r="K1130" s="47"/>
      <c r="L1130" s="48"/>
      <c r="M1130" s="48"/>
      <c r="N1130" s="48"/>
      <c r="S1130" s="49"/>
    </row>
    <row r="1131" customFormat="false" ht="15.75" hidden="false" customHeight="true" outlineLevel="0" collapsed="false">
      <c r="B1131" s="40"/>
      <c r="C1131" s="41"/>
      <c r="D1131" s="42"/>
      <c r="E1131" s="40"/>
      <c r="F1131" s="43"/>
      <c r="G1131" s="44"/>
      <c r="H1131" s="45"/>
      <c r="I1131" s="45"/>
      <c r="J1131" s="46"/>
      <c r="K1131" s="47"/>
      <c r="L1131" s="48"/>
      <c r="M1131" s="48"/>
      <c r="N1131" s="48"/>
      <c r="S1131" s="49"/>
    </row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hyperlinks>
    <hyperlink ref="C1" r:id="rId1" display="Softwood?"/>
    <hyperlink ref="D1" r:id="rId2" display="Steam bendable"/>
    <hyperlink ref="E1" r:id="rId3" display="Hardness"/>
    <hyperlink ref="F1" r:id="rId4" location="Density" display="Density"/>
    <hyperlink ref="G1" r:id="rId5" display="flexural modulus"/>
    <hyperlink ref="H1" r:id="rId6" display="Poisson’s Strain ratio"/>
    <hyperlink ref="I1" r:id="rId7" display="Poisson’s Strain ratio"/>
    <hyperlink ref="J1" r:id="rId8" display="Flexural Strength"/>
    <hyperlink ref="K1" r:id="rId9" display="Compress Strength"/>
    <hyperlink ref="B5" r:id="rId10" display="African Padauk"/>
    <hyperlink ref="S5" r:id="rId11" display="https://en.wikipedia.org/wiki/Pterocarpus_soyauxii"/>
    <hyperlink ref="B6" r:id="rId12" display="Afrormosia"/>
    <hyperlink ref="S6" r:id="rId13" display="https://en.wikipedia.org/wiki/Pericopsis_elata"/>
    <hyperlink ref="B7" r:id="rId14" display="Alaskan Yellow Cedar"/>
    <hyperlink ref="S7" r:id="rId15" display="https://en.wikipedia.org/wiki/Callitropsis_nootkatensis"/>
    <hyperlink ref="B8" r:id="rId16" display="Amazon Rosewood"/>
    <hyperlink ref="B9" r:id="rId17" display="American Beech"/>
    <hyperlink ref="S9" r:id="rId18" display="https://en.wikipedia.org/wiki/Fagus_grandifolia"/>
    <hyperlink ref="B10" r:id="rId19" display="American Chestnut"/>
    <hyperlink ref="S10" r:id="rId20" display="https://en.wikipedia.org/wiki/American_chestnut"/>
    <hyperlink ref="B11" r:id="rId21" display="American Elm"/>
    <hyperlink ref="S11" r:id="rId22" display="https://en.wikipedia.org/wiki/Ulmus_americana"/>
    <hyperlink ref="B12" r:id="rId23" display="Andean alder"/>
    <hyperlink ref="S12" r:id="rId24" display="https://en.wikipedia.org/wiki/Alnus_acuminata"/>
    <hyperlink ref="B13" r:id="rId25" display="Anigre"/>
    <hyperlink ref="S13" r:id="rId26" display="https://en.wikipedia.org/wiki/Aningeria"/>
    <hyperlink ref="B14" r:id="rId27" display="Apple"/>
    <hyperlink ref="S14" r:id="rId28" display="https://en.wikipedia.org/wiki/Apple"/>
    <hyperlink ref="B15" r:id="rId29" display="Apricot"/>
    <hyperlink ref="S15" r:id="rId30" display="https://en.wikipedia.org/wiki/Prunus_armeniaca"/>
    <hyperlink ref="B16" r:id="rId31" display="Atlantic White Cedar"/>
    <hyperlink ref="S16" r:id="rId32" display="https://en.wikipedia.org/wiki/Chamaecyparis_thyoides"/>
    <hyperlink ref="B17" r:id="rId33" display="Atlas Cedar"/>
    <hyperlink ref="S17" r:id="rId34" display="https://en.wikipedia.org/wiki/Cedrus_atlantica"/>
    <hyperlink ref="B18" r:id="rId35" display="Australian Blackwood (Tasmanian Acacia)"/>
    <hyperlink ref="S18" r:id="rId36" display="https://en.wikipedia.org/wiki/Acacia_melanoxylon"/>
    <hyperlink ref="B19" r:id="rId37" display="Australian Red Cedar (Toona)"/>
    <hyperlink ref="S19" r:id="rId38" display="https://en.wikipedia.org/wiki/Toona_ciliata"/>
    <hyperlink ref="B20" r:id="rId39" display="Avodire"/>
    <hyperlink ref="S20" r:id="rId40" display="https://en.wikipedia.org/wiki/Turraeanthus_africanus"/>
    <hyperlink ref="B21" r:id="rId41" display="Bald cypress"/>
    <hyperlink ref="S21" r:id="rId42" display="https://en.wikipedia.org/wiki/Taxodium_distichum"/>
    <hyperlink ref="B22" r:id="rId43" display="Balsa"/>
    <hyperlink ref="S22" r:id="rId44" display="https://en.wikipedia.org/wiki/Ochroma"/>
    <hyperlink ref="B23" r:id="rId45" display="Balsam Fir"/>
    <hyperlink ref="S23" r:id="rId46" display="https://en.wikipedia.org/wiki/Abies_balsamea"/>
    <hyperlink ref="B24" r:id="rId47" display="Balsam Poplar"/>
    <hyperlink ref="S24" r:id="rId48" display="https://en.wikipedia.org/wiki/Populus_balsamifera"/>
    <hyperlink ref="B25" r:id="rId49" display="Bamboo"/>
    <hyperlink ref="S25" r:id="rId50" display="https://en.wikipedia.org/wiki/Bamboo"/>
    <hyperlink ref="B26" r:id="rId51" display="American Basswood (Linden, Lime)"/>
    <hyperlink ref="S26" r:id="rId52" display="https://en.wikipedia.org/wiki/Tilia_americana"/>
    <hyperlink ref="B27" r:id="rId53" display="Batai (Falcata)"/>
    <hyperlink ref="S27" r:id="rId54" display="https://en.wikipedia.org/wiki/Falcataria_falcata"/>
    <hyperlink ref="B28" r:id="rId55" display="Bigleaf Maple (quilted, curly)"/>
    <hyperlink ref="S28" r:id="rId56" display="https://en.wikipedia.org/wiki/Acer_macrophyllum"/>
    <hyperlink ref="B29" r:id="rId57" display="Bigtooth Aspen"/>
    <hyperlink ref="S29" r:id="rId58" display="https://en.wikipedia.org/wiki/Populus_grandidentata"/>
    <hyperlink ref="B30" r:id="rId59" display="Black Ash"/>
    <hyperlink ref="S30" r:id="rId60" display="https://en.wikipedia.org/wiki/Fraxinus_nigra"/>
    <hyperlink ref="B31" r:id="rId61" display="Black Cherry"/>
    <hyperlink ref="S31" r:id="rId62" display="https://en.wikipedia.org/wiki/Prunus_serotina"/>
    <hyperlink ref="B32" r:id="rId63" display="Black Cottonwood"/>
    <hyperlink ref="S32" r:id="rId64" display="https://en.wikipedia.org/wiki/Populus_trichocarpa"/>
    <hyperlink ref="B33" r:id="rId65" display="Black Ironwood"/>
    <hyperlink ref="S33" r:id="rId66" display="https://en.wikipedia.org/wiki/Krugiodendron"/>
    <hyperlink ref="B34" r:id="rId67" display="Black Locust"/>
    <hyperlink ref="S34" r:id="rId68" display="https://en.wikipedia.org/wiki/Robinia_pseudoacacia"/>
    <hyperlink ref="B35" r:id="rId69" display="Black Maple"/>
    <hyperlink ref="S35" r:id="rId70" display="https://en.wikipedia.org/wiki/Acer_nigrum"/>
    <hyperlink ref="B36" r:id="rId71" display="Black Oak"/>
    <hyperlink ref="S36" r:id="rId72" display="https://en.wikipedia.org/wiki/Quercus_velutina"/>
    <hyperlink ref="B37" r:id="rId73" display="Black Poplar"/>
    <hyperlink ref="S37" r:id="rId74" display="https://en.wikipedia.org/wiki/Populus_nigra"/>
    <hyperlink ref="B38" r:id="rId75" display="Black siris"/>
    <hyperlink ref="S38" r:id="rId76" display="https://en.wikipedia.org/wiki/Albizia_odoratissima"/>
    <hyperlink ref="B39" r:id="rId77" display="Black Spruce"/>
    <hyperlink ref="S39" r:id="rId78" display="https://en.wikipedia.org/wiki/Picea_mariana"/>
    <hyperlink ref="B40" r:id="rId79" display="Black Tupelo"/>
    <hyperlink ref="S40" r:id="rId80" display="https://en.wikipedia.org/wiki/Nyssa_sylvatica"/>
    <hyperlink ref="B41" r:id="rId81" display="Black Walnut"/>
    <hyperlink ref="S41" r:id="rId82" display="https://en.wikipedia.org/wiki/Juglans_nigra"/>
    <hyperlink ref="B42" r:id="rId83" display="Black Willow"/>
    <hyperlink ref="S42" r:id="rId84" display="https://en.wikipedia.org/wiki/Salix_nigra"/>
    <hyperlink ref="B43" r:id="rId85" display="Bloodwood"/>
    <hyperlink ref="S43" r:id="rId86" display="https://en.wikipedia.org/wiki/Brosimum"/>
    <hyperlink ref="B44" r:id="rId87" display="Blue Gum (eucalyptus)"/>
    <hyperlink ref="S44" r:id="rId88" display="https://en.wikipedia.org/wiki/Eucalyptus_globulus"/>
    <hyperlink ref="B45" r:id="rId89" display="Bocote"/>
    <hyperlink ref="S45" r:id="rId90" display="https://en.wikipedia.org/wiki/Cordia"/>
    <hyperlink ref="B46" r:id="rId91" display="Bois de Rose (Rosewood)"/>
    <hyperlink ref="S46" r:id="rId92" display="https://en.wikipedia.org/wiki/Dalbergia_maritima"/>
    <hyperlink ref="B47" r:id="rId93" display="Boxwood"/>
    <hyperlink ref="S47" r:id="rId94" display="https://en.wikipedia.org/wiki/Buxus_sempervirens"/>
    <hyperlink ref="B48" r:id="rId95" display="Brazilian Rosewood"/>
    <hyperlink ref="S48" r:id="rId96" display="https://en.wikipedia.org/wiki/Dalbergia_nigra"/>
    <hyperlink ref="B49" r:id="rId97" display="Brazilwood (Pernambuco)"/>
    <hyperlink ref="S49" r:id="rId98" display="https://en.wikipedia.org/wiki/Paubrasilia"/>
    <hyperlink ref="B50" r:id="rId99" display="Bubinga (African Rosewood)"/>
    <hyperlink ref="S50" r:id="rId100" display="https://en.wikipedia.org/wiki/Guibourtia"/>
    <hyperlink ref="B51" r:id="rId101" display="Bulletwood"/>
    <hyperlink ref="S51" r:id="rId102" display="https://en.wikipedia.org/wiki/Manilkara_bidentata"/>
    <hyperlink ref="B52" r:id="rId103" display="Bur Oak"/>
    <hyperlink ref="S52" r:id="rId104" display="https://en.wikipedia.org/wiki/Quercus_macrocarpa"/>
    <hyperlink ref="B53" r:id="rId105" display="Burma Padauk"/>
    <hyperlink ref="S53" r:id="rId106" display="https://en.wikipedia.org/wiki/Pterocarpus_macrocarpus"/>
    <hyperlink ref="B54" r:id="rId107" display="Burmese Rosewood"/>
    <hyperlink ref="S54" r:id="rId108" display="https://en.wikipedia.org/wiki/Dalbergia_oliveri"/>
    <hyperlink ref="B55" r:id="rId109" display="Butternut"/>
    <hyperlink ref="S55" r:id="rId110" display="https://en.wikipedia.org/wiki/Juglans_cinerea"/>
    <hyperlink ref="B56" r:id="rId111" display="California Black Oak"/>
    <hyperlink ref="S56" r:id="rId112" display="https://en.wikipedia.org/wiki/Quercus_kelloggii"/>
    <hyperlink ref="B57" r:id="rId113" display="California red fir"/>
    <hyperlink ref="S57" r:id="rId114" display="https://en.wikipedia.org/wiki/Abies_magnifica"/>
    <hyperlink ref="B58" r:id="rId115" display="Canarywood"/>
    <hyperlink ref="S58" r:id="rId116" display="https://en.wikipedia.org/wiki/Centrolobium"/>
    <hyperlink ref="B59" r:id="rId117" display="Candlenut"/>
    <hyperlink ref="S59" r:id="rId118" display="https://en.wikipedia.org/wiki/Aleurites_moluccanus"/>
    <hyperlink ref="B60" r:id="rId119" display="Catalpa"/>
    <hyperlink ref="S60" r:id="rId120" display="https://en.wikipedia.org/wiki/Catalpa"/>
    <hyperlink ref="B61" r:id="rId121" display="Cedar of Lebanon"/>
    <hyperlink ref="S61" r:id="rId122" display="https://en.wikipedia.org/wiki/Cedrus_libani"/>
    <hyperlink ref="B62" r:id="rId123" display="Cerejeira"/>
    <hyperlink ref="S62" r:id="rId124" display="https://en.wikipedia.org/wiki/Amburana_cearensis"/>
    <hyperlink ref="B63" r:id="rId125" display="Ceylon Ebony"/>
    <hyperlink ref="S63" r:id="rId126" display="https://en.wikipedia.org/wiki/Diospyros_ebenum"/>
    <hyperlink ref="B64" r:id="rId127" display="Chechen"/>
    <hyperlink ref="S64" r:id="rId128" display="https://en.wikipedia.org/wiki/Metopium_brownei"/>
    <hyperlink ref="B65" r:id="rId129" display="Cheesewood"/>
    <hyperlink ref="S65" r:id="rId130" display="https://en.wikipedia.org/wiki/Alstonia_congensis"/>
    <hyperlink ref="B66" r:id="rId131" display="Cherrybark Oak"/>
    <hyperlink ref="S66" r:id="rId132" display="https://en.wikipedia.org/wiki/Quercus_pagoda"/>
    <hyperlink ref="B67" r:id="rId133" display="Chestnut Oak"/>
    <hyperlink ref="S67" r:id="rId134" display="https://en.wikipedia.org/wiki/Quercus_montana"/>
    <hyperlink ref="B68" r:id="rId135" display="Claro Walnut (California Black)"/>
    <hyperlink ref="S68" r:id="rId136" display="https://en.wikipedia.org/wiki/Juglans_hindsii"/>
    <hyperlink ref="B69" r:id="rId137" display="Coast Redwood"/>
    <hyperlink ref="S69" r:id="rId138" display="https://en.wikipedia.org/wiki/Sequoia_sempervirens"/>
    <hyperlink ref="B70" r:id="rId139" display="Cocobolo (Rosewood)"/>
    <hyperlink ref="S70" r:id="rId140" display="https://en.wikipedia.org/wiki/Dalbergia_retusa"/>
    <hyperlink ref="B71" r:id="rId141" display="Cuban Mahogany"/>
    <hyperlink ref="S71" r:id="rId142" display="https://en.wikipedia.org/wiki/Swietenia_mahagoni"/>
    <hyperlink ref="B72" r:id="rId143" display="Cucumbertree"/>
    <hyperlink ref="S72" r:id="rId144" display="https://en.wikipedia.org/wiki/Magnolia_acuminata"/>
    <hyperlink ref="B73" r:id="rId145" display="Cumaru"/>
    <hyperlink ref="S73" r:id="rId146" display="https://en.wikipedia.org/wiki/Dipteryx_odorata"/>
    <hyperlink ref="B74" r:id="rId147" display="Curupay"/>
    <hyperlink ref="S74" r:id="rId148" display="https://en.wikipedia.org/wiki/Anadenanthera_colubrina"/>
    <hyperlink ref="B75" r:id="rId149" display="Dark Red Meranti (Lauan)"/>
    <hyperlink ref="S75" r:id="rId150" display="https://en.wikipedia.org/wiki/Shorea_acuminata"/>
    <hyperlink ref="B76" r:id="rId151" display="Desert Ironwood"/>
    <hyperlink ref="S76" r:id="rId152" display="https://en.wikipedia.org/wiki/Olneya"/>
    <hyperlink ref="B77" r:id="rId153" display="Douglas-fir"/>
    <hyperlink ref="S77" r:id="rId154" display="https://en.wikipedia.org/wiki/Douglas_fir"/>
    <hyperlink ref="B78" r:id="rId155" display="East Indian kauri"/>
    <hyperlink ref="S78" r:id="rId156" display="https://en.wikipedia.org/wiki/Agathis_dammara"/>
    <hyperlink ref="B79" r:id="rId157" display="East Indian Rosewood"/>
    <hyperlink ref="S79" r:id="rId158" display="https://en.wikipedia.org/wiki/Dalbergia_latifolia"/>
    <hyperlink ref="B80" r:id="rId159" display="East Indian Satinwood"/>
    <hyperlink ref="S80" r:id="rId160" display="https://en.wikipedia.org/wiki/Chloroxylon_swietenia"/>
    <hyperlink ref="B81" r:id="rId161" display="Eastern Cottonwood"/>
    <hyperlink ref="S81" r:id="rId162" display="https://en.wikipedia.org/wiki/Populus_deltoides"/>
    <hyperlink ref="B82" r:id="rId163" display="Eastern Hemlock"/>
    <hyperlink ref="S82" r:id="rId164" display="https://en.wikipedia.org/wiki/Tsuga_canadensis"/>
    <hyperlink ref="B83" r:id="rId165" display="Eastern Red Cedar"/>
    <hyperlink ref="S83" r:id="rId166" display="https://en.wikipedia.org/wiki/Juniperus_virginiana"/>
    <hyperlink ref="B84" r:id="rId167" display="Eastern White Pine"/>
    <hyperlink ref="S84" r:id="rId168" display="https://en.wikipedia.org/wiki/Pinus_strobus"/>
    <hyperlink ref="B85" r:id="rId169" display="Ebiara"/>
    <hyperlink ref="S85" r:id="rId170" display="https://en.wikipedia.org/wiki/Berlinia"/>
    <hyperlink ref="B86" r:id="rId171" display="Engelmann Spruce"/>
    <hyperlink ref="S86" r:id="rId172" display="https://en.wikipedia.org/wiki/Picea_engelmannii"/>
    <hyperlink ref="B87" r:id="rId173" display="English Walnut"/>
    <hyperlink ref="S87" r:id="rId174" display="https://en.wikipedia.org/wiki/Juglans_regia"/>
    <hyperlink ref="B88" r:id="rId175" display="Etimoé"/>
    <hyperlink ref="S88" r:id="rId176" display="https://en.wikipedia.org/wiki/Copaifera"/>
    <hyperlink ref="B89" r:id="rId177" display="European Alder (Black Alder)"/>
    <hyperlink ref="S89" r:id="rId178" display="https://en.wikipedia.org/wiki/Alnus_glutinosa"/>
    <hyperlink ref="B90" r:id="rId179" display="European Ash"/>
    <hyperlink ref="S90" r:id="rId180" display="https://en.wikipedia.org/wiki/Fraxinus_excelsior"/>
    <hyperlink ref="B91" r:id="rId181" display="European Beech"/>
    <hyperlink ref="S91" r:id="rId182" display="https://en.wikipedia.org/wiki/Fagus_sylvatica"/>
    <hyperlink ref="B92" r:id="rId183" display="European Hornbeam"/>
    <hyperlink ref="S92" r:id="rId184" display="https://en.wikipedia.org/wiki/Carpinus_betulus"/>
    <hyperlink ref="B93" r:id="rId185" display="European Lime (Linden)"/>
    <hyperlink ref="S93" r:id="rId186" display="https://en.wikipedia.org/wiki/Tilia_×_europaea"/>
    <hyperlink ref="B94" r:id="rId187" display="European Silver Fir"/>
    <hyperlink ref="S94" r:id="rId188" display="https://en.wikipedia.org/wiki/Abies_alba"/>
    <hyperlink ref="B95" r:id="rId189" display="European Yew"/>
    <hyperlink ref="S95" r:id="rId190" display="https://en.wikipedia.org/wiki/Taxus_baccata"/>
    <hyperlink ref="B96" r:id="rId191" display="Field Maple (violins)"/>
    <hyperlink ref="S96" r:id="rId192" display="https://en.wikipedia.org/wiki/Acer_campestre"/>
    <hyperlink ref="B97" r:id="rId193" display="Freijo"/>
    <hyperlink ref="S97" r:id="rId194" display="https://en.wikipedia.org/wiki/Cordia"/>
    <hyperlink ref="B98" r:id="rId195" display="Gaboon Ebony"/>
    <hyperlink ref="S98" r:id="rId196" display="https://en.wikipedia.org/wiki/Diospyros_crassiflora"/>
    <hyperlink ref="B99" r:id="rId197" display="Giant sequoia"/>
    <hyperlink ref="S99" r:id="rId198" display="https://en.wikipedia.org/wiki/Sequoiadendron_giganteum"/>
    <hyperlink ref="B100" r:id="rId199" display="Gidgee"/>
    <hyperlink ref="S100" r:id="rId200" display="https://en.wikipedia.org/wiki/Acacia_cambagei"/>
    <hyperlink ref="B101" r:id="rId201" display="Gonçalo Alves"/>
    <hyperlink ref="S101" r:id="rId202" display="https://en.wikipedia.org/wiki/Astronium_fraxinifolium"/>
    <hyperlink ref="B102" r:id="rId203" display="Gowen Cypress"/>
    <hyperlink ref="S102" r:id="rId204" display="https://en.wikipedia.org/wiki/Hesperocyparis_goveniana"/>
    <hyperlink ref="B103" r:id="rId205" display="Grand Fir"/>
    <hyperlink ref="S103" r:id="rId206" display="https://en.wikipedia.org/wiki/Abies_grandis"/>
    <hyperlink ref="B104" r:id="rId207" display="Green Ash"/>
    <hyperlink ref="S104" r:id="rId208" display="https://en.wikipedia.org/wiki/Fraxinus_pennsylvanica"/>
    <hyperlink ref="B105" r:id="rId209" display="Greenheart"/>
    <hyperlink ref="S105" r:id="rId210" display="https://en.wikipedia.org/wiki/Chlorocardium_rodiei"/>
    <hyperlink ref="B106" r:id="rId211" display="Hackberry"/>
    <hyperlink ref="S106" r:id="rId212" display="https://en.wikipedia.org/wiki/Celtis_occidentalis"/>
    <hyperlink ref="B107" r:id="rId213" display="Hard Maple (Sugar, Rock)"/>
    <hyperlink ref="S107" r:id="rId214" display="https://en.wikipedia.org/wiki/Acer_saccharum"/>
    <hyperlink ref="B108" r:id="rId215" display="Holly"/>
    <hyperlink ref="S108" r:id="rId216" display="https://en.wikipedia.org/wiki/Ilex_opaca"/>
    <hyperlink ref="B109" r:id="rId217" display="Honduran Mahogany"/>
    <hyperlink ref="S109" r:id="rId218" display="https://en.wikipedia.org/wiki/Swietenia_macrophylla"/>
    <hyperlink ref="B110" r:id="rId219" display="Honduran Rosewood"/>
    <hyperlink ref="S110" r:id="rId220" display="https://en.wikipedia.org/wiki/Dalbergia_stevensonii"/>
    <hyperlink ref="B111" r:id="rId221" display="Honey Mesquite"/>
    <hyperlink ref="S111" r:id="rId222" display="https://en.wikipedia.org/wiki/Neltuma_glandulosa"/>
    <hyperlink ref="B112" r:id="rId223" display="Imbuia"/>
    <hyperlink ref="S112" r:id="rId224" display="https://en.wikipedia.org/wiki/Ocotea_porosa"/>
    <hyperlink ref="B113" r:id="rId225" display="Incense Cedar"/>
    <hyperlink ref="S113" r:id="rId226" display="https://en.wikipedia.org/wiki/Calocedrus_decurrens"/>
    <hyperlink ref="B114" r:id="rId227" display="Indian Laurel"/>
    <hyperlink ref="S114" r:id="rId228" display="https://en.wikipedia.org/wiki/Terminalia_elliptica"/>
    <hyperlink ref="B115" r:id="rId229" display="Indian Pulai"/>
    <hyperlink ref="S115" r:id="rId230" display="https://en.wikipedia.org/wiki/Alstonia_scholaris"/>
    <hyperlink ref="B116" r:id="rId231" display="Ipê"/>
    <hyperlink ref="S116" r:id="rId232" display="https://en.wikipedia.org/wiki/Handroanthus"/>
    <hyperlink ref="B117" r:id="rId233" display="Iroko"/>
    <hyperlink ref="S117" r:id="rId234" display="https://en.wikipedia.org/wiki/Iroko"/>
    <hyperlink ref="B118" r:id="rId235" display="Jarrah (eucalyptus)"/>
    <hyperlink ref="S118" r:id="rId236" display="https://en.wikipedia.org/wiki/Eucalyptus_marginata"/>
    <hyperlink ref="B119" r:id="rId237" display="Jatobá"/>
    <hyperlink ref="S119" r:id="rId238" display="https://en.wikipedia.org/wiki/Hymenaea_courbaril"/>
    <hyperlink ref="B120" r:id="rId239" display="Katalox&#10;(Mexican not Ebony)"/>
    <hyperlink ref="S120" r:id="rId240" display="https://en.wikipedia.org/wiki/Swartzia"/>
    <hyperlink ref="B121" r:id="rId241" display="Keruing (Apitong)"/>
    <hyperlink ref="S121" r:id="rId242" display="https://en.wikipedia.org/wiki/Dipterocarpus"/>
    <hyperlink ref="B122" r:id="rId243" display="Kingwood (Rosewood)"/>
    <hyperlink ref="S122" r:id="rId244" display="https://en.wikipedia.org/wiki/Dalbergia_cearensis"/>
    <hyperlink ref="B123" r:id="rId245" display="Koa (Acacia)"/>
    <hyperlink ref="S123" r:id="rId246" display="https://en.wikipedia.org/wiki/Acacia_koa"/>
    <hyperlink ref="B124" r:id="rId247" display="Lacewood"/>
    <hyperlink ref="S124" r:id="rId248" display="https://en.wikipedia.org/wiki/Panopsis"/>
    <hyperlink ref="B125" r:id="rId249" display="Leopardwood"/>
    <hyperlink ref="S125" r:id="rId250" display="https://en.wikipedia.org/wiki/Roupala_montana"/>
    <hyperlink ref="B126" r:id="rId251" display="Leyland Cypress"/>
    <hyperlink ref="S126" r:id="rId252" display="https://en.wikipedia.org/wiki/Leyland_cypress"/>
    <hyperlink ref="B127" r:id="rId253" display="Lignum Vitae"/>
    <hyperlink ref="S127" r:id="rId254" display="https://en.wikipedia.org/wiki/Guaiacum_officinale"/>
    <hyperlink ref="B128" r:id="rId255" display="Limba (Korina)"/>
    <hyperlink ref="S128" r:id="rId256" display="https://en.wikipedia.org/wiki/Terminalia_superba"/>
    <hyperlink ref="B129" r:id="rId257" display="Live Oak"/>
    <hyperlink ref="S129" r:id="rId258" display="https://en.wikipedia.org/wiki/Quercus_virginiana"/>
    <hyperlink ref="B130" r:id="rId259" display="Loblolly Pine"/>
    <hyperlink ref="S130" r:id="rId260" display="https://en.wikipedia.org/wiki/Pinus_taeda"/>
    <hyperlink ref="B131" r:id="rId261" display="Lodgepole Pine"/>
    <hyperlink ref="S131" r:id="rId262" display="https://en.wikipedia.org/wiki/Pinus_contorta"/>
    <hyperlink ref="B132" r:id="rId263" display="Longleaf Pine"/>
    <hyperlink ref="S132" r:id="rId264" display="https://en.wikipedia.org/wiki/Longleaf_pine"/>
    <hyperlink ref="B133" r:id="rId265" display="Macacauba (Hormigo, Granadillo)"/>
    <hyperlink ref="S133" r:id="rId266" display="https://en.wikipedia.org/wiki/Platymiscium"/>
    <hyperlink ref="B134" r:id="rId267" display="Macassar Ebony"/>
    <hyperlink ref="S134" r:id="rId268" display="https://en.wikipedia.org/wiki/Diospyros_celebica"/>
    <hyperlink ref="B135" r:id="rId269" display="Madagascar Rosewood"/>
    <hyperlink ref="S135" r:id="rId270" display="https://en.wikipedia.org/wiki/Dalbergia_baronii"/>
    <hyperlink ref="B136" r:id="rId271" display="Madrone"/>
    <hyperlink ref="S136" r:id="rId272" display="https://en.wikipedia.org/wiki/Arbutus_menziesii"/>
    <hyperlink ref="B137" r:id="rId273" display="Makore"/>
    <hyperlink ref="S137" r:id="rId274" display="https://en.wikipedia.org/wiki/Tieghemella_heckelii"/>
    <hyperlink ref="B138" r:id="rId275" display="Malaysian Blackwood (Ebony)"/>
    <hyperlink ref="B139" r:id="rId276" display="Mediterranean Cypress"/>
    <hyperlink ref="S139" r:id="rId277" display="https://en.wikipedia.org/wiki/Cupressus_sempervirens"/>
    <hyperlink ref="B140" r:id="rId278" display="Mexican Cypress"/>
    <hyperlink ref="S140" r:id="rId279" display="https://en.wikipedia.org/wiki/Hesperocyparis_lusitanica"/>
    <hyperlink ref="B141" r:id="rId280" display="Monkeypod"/>
    <hyperlink ref="S141" r:id="rId281" display="https://en.wikipedia.org/wiki/Samanea_saman"/>
    <hyperlink ref="B142" r:id="rId282" display="Monterey Cypress"/>
    <hyperlink ref="S142" r:id="rId283" display="https://en.wikipedia.org/wiki/Cupressus_macrocarpa"/>
    <hyperlink ref="B143" r:id="rId284" display="Mopane"/>
    <hyperlink ref="S143" r:id="rId285" display="https://en.wikipedia.org/wiki/Mopane"/>
    <hyperlink ref="B144" r:id="rId286" display="Mora (Nato)"/>
    <hyperlink ref="S144" r:id="rId287" display="https://en.wikipedia.org/wiki/Nato_wood"/>
    <hyperlink ref="B145" r:id="rId288" display="Mutenyé"/>
    <hyperlink ref="S145" r:id="rId289" display="https://en.wikipedia.org/wiki/Guibourtia_arnoldiana"/>
    <hyperlink ref="B146" r:id="rId290" display="Narra"/>
    <hyperlink ref="S146" r:id="rId291" display="https://en.wikipedia.org/wiki/Pterocarpus_indicus"/>
    <hyperlink ref="B147" r:id="rId292" display="Kauri (Agathis)"/>
    <hyperlink ref="S147" r:id="rId293" display="https://en.wikipedia.org/wiki/Agathis_australis"/>
    <hyperlink ref="B148" r:id="rId294" display="Noble fir"/>
    <hyperlink ref="S148" r:id="rId295" display="https://en.wikipedia.org/wiki/Abies_procera"/>
    <hyperlink ref="B149" r:id="rId296" display="Northern Silky Oak"/>
    <hyperlink ref="S149" r:id="rId297" display="https://en.wikipedia.org/wiki/Cardwellia"/>
    <hyperlink ref="B150" r:id="rId298" display="Northern White Cedar"/>
    <hyperlink ref="S150" r:id="rId299" display="https://en.wikipedia.org/wiki/Thuja_occidentalis"/>
    <hyperlink ref="B151" r:id="rId300" display="Norway Maple (violins)"/>
    <hyperlink ref="S151" r:id="rId301" display="https://en.wikipedia.org/wiki/Acer_platanoides"/>
    <hyperlink ref="B152" r:id="rId302" display="Norway Spruce (violins)"/>
    <hyperlink ref="S152" r:id="rId303" display="https://en.wikipedia.org/wiki/Picea_abies"/>
    <hyperlink ref="B153" r:id="rId304" display="Nyatoh"/>
    <hyperlink ref="S153" r:id="rId305" display="https://en.wikipedia.org/wiki/Nyatoh"/>
    <hyperlink ref="B154" r:id="rId306" display="Obeche"/>
    <hyperlink ref="S154" r:id="rId307" display="https://en.wikipedia.org/wiki/Triplochiton_scleroxylon"/>
    <hyperlink ref="B155" r:id="rId308" display="Okoumé"/>
    <hyperlink ref="S155" r:id="rId309" display="https://en.wikipedia.org/wiki/Aucoumea_klaineana"/>
    <hyperlink ref="B156" r:id="rId310" display="Oregon Ash"/>
    <hyperlink ref="S156" r:id="rId311" display="https://en.wikipedia.org/wiki/Fraxinus_latifolia"/>
    <hyperlink ref="B157" r:id="rId312" display="Oregon Myrtle"/>
    <hyperlink ref="S157" r:id="rId313" display="https://en.wikipedia.org/wiki/Umbellularia"/>
    <hyperlink ref="B158" r:id="rId314" display="Oregon White Oak"/>
    <hyperlink ref="S158" r:id="rId315" display="https://en.wikipedia.org/wiki/Quercus_garryana"/>
    <hyperlink ref="B159" r:id="rId316" display="Osage Orange"/>
    <hyperlink ref="S159" r:id="rId317" display="https://en.wikipedia.org/wiki/Maclura_pomifera"/>
    <hyperlink ref="B160" r:id="rId318" display="Ovangkol (Shedua, Amazique)"/>
    <hyperlink ref="S160" r:id="rId319" display="https://en.wikipedia.org/wiki/Guibourtia_ehie"/>
    <hyperlink ref="B161" r:id="rId320" display="Pacific Silver Fir"/>
    <hyperlink ref="S161" r:id="rId321" display="https://en.wikipedia.org/wiki/Abies_amabilis"/>
    <hyperlink ref="B162" r:id="rId322" display="Pacific Yew"/>
    <hyperlink ref="S162" r:id="rId323" display="https://en.wikipedia.org/wiki/Taxus_brevifolia"/>
    <hyperlink ref="B163" r:id="rId324" display="Panga Panga"/>
    <hyperlink ref="S163" r:id="rId325" display="https://en.wikipedia.org/wiki/Millettia_stuhlmannii"/>
    <hyperlink ref="B164" r:id="rId326" display="Partridgewood"/>
    <hyperlink ref="S164" r:id="rId327" display="https://en.wikipedia.org/wiki/Andira_inermis"/>
    <hyperlink ref="B165" r:id="rId328" display="Pau Ferro (not rosewood)"/>
    <hyperlink ref="S165" r:id="rId329" display="https://en.wikipedia.org/wiki/Machaerium_scleroxylon"/>
    <hyperlink ref="B166" r:id="rId330" display="Pau Rosa"/>
    <hyperlink ref="S166" r:id="rId331" display="https://en.wikipedia.org/wiki/Bobgunnia"/>
    <hyperlink ref="B167" r:id="rId332" display="Pau Santo"/>
    <hyperlink ref="S167" r:id="rId333" display="https://en.wikipedia.org/wiki/Zollernia"/>
    <hyperlink ref="B168" r:id="rId334" display="Paulownia"/>
    <hyperlink ref="S168" r:id="rId335" display="https://en.wikipedia.org/wiki/Paulownia_tomentosa"/>
    <hyperlink ref="B169" r:id="rId336" display="Pear"/>
    <hyperlink ref="S169" r:id="rId337" display="https://en.wikipedia.org/wiki/Pyrus_communis"/>
    <hyperlink ref="B170" r:id="rId338" display="Pecan (Hickory)"/>
    <hyperlink ref="S170" r:id="rId339" display="https://en.wikipedia.org/wiki/Pecan"/>
    <hyperlink ref="B171" r:id="rId340" display="Persimmon (Ebony)"/>
    <hyperlink ref="S171" r:id="rId341" display="https://en.wikipedia.org/wiki/Diospyros_virginiana"/>
    <hyperlink ref="B172" r:id="rId342" display="Peruvian Walnut"/>
    <hyperlink ref="S172" r:id="rId343" display="https://en.wikipedia.org/wiki/Juglans_boliviana"/>
    <hyperlink ref="B173" r:id="rId344" display="Pheasantwood"/>
    <hyperlink ref="S173" r:id="rId345" display="https://en.wikipedia.org/wiki/Senna_siamea"/>
    <hyperlink ref="B174" r:id="rId346" display="Pignut Hickory"/>
    <hyperlink ref="S174" r:id="rId347" display="https://en.wikipedia.org/wiki/Carya_glabra"/>
    <hyperlink ref="B175" r:id="rId348" display="Plum"/>
    <hyperlink ref="S175" r:id="rId349" display="https://en.wikipedia.org/wiki/Prunus_domestica"/>
    <hyperlink ref="B176" r:id="rId350" display="Ponderosa Pine"/>
    <hyperlink ref="S176" r:id="rId351" display="https://en.wikipedia.org/wiki/Pinus_ponderosa"/>
    <hyperlink ref="B177" r:id="rId352" display="Yellow Poplar"/>
    <hyperlink ref="S177" r:id="rId353" display="https://en.wikipedia.org/wiki/Liriodendron_tulipifera"/>
    <hyperlink ref="B178" r:id="rId354" display="Port Orford Cedar"/>
    <hyperlink ref="S178" r:id="rId355" display="https://en.wikipedia.org/wiki/Chamaecyparis_lawsoniana"/>
    <hyperlink ref="B179" r:id="rId356" display="Primavera"/>
    <hyperlink ref="S179" r:id="rId357" display="https://en.wikipedia.org/wiki/Roseodendron"/>
    <hyperlink ref="B180" r:id="rId358" display="Purpleheart (Amaranth)"/>
    <hyperlink ref="S180" r:id="rId359" display="https://en.wikipedia.org/wiki/Peltogyne"/>
    <hyperlink ref="B181" r:id="rId360" display="Quaking Aspen"/>
    <hyperlink ref="S181" r:id="rId361" display="https://en.wikipedia.org/wiki/Populus_tremuloides"/>
    <hyperlink ref="B182" r:id="rId362" display="Queensland Maple (not maple)"/>
    <hyperlink ref="S182" r:id="rId363" display="https://en.wikipedia.org/wiki/Flindersia_brayleyana"/>
    <hyperlink ref="B183" r:id="rId364" display="Queensland Walnut"/>
    <hyperlink ref="S183" r:id="rId365" display="https://en.wikipedia.org/wiki/Endiandra_palmerstonii"/>
    <hyperlink ref="B184" r:id="rId366" display="Radiata Pine"/>
    <hyperlink ref="S184" r:id="rId367" display="https://en.wikipedia.org/wiki/Pinus_radiata"/>
    <hyperlink ref="B185" r:id="rId368" display="Red Alder"/>
    <hyperlink ref="S185" r:id="rId369" display="https://en.wikipedia.org/wiki/Alnus_rubra"/>
    <hyperlink ref="B186" r:id="rId370" display="Red Ash"/>
    <hyperlink ref="S186" r:id="rId371" display="https://en.wikipedia.org/wiki/Alphitonia_excelsa"/>
    <hyperlink ref="B187" r:id="rId372" display="Red Elm"/>
    <hyperlink ref="S187" r:id="rId373" display="https://en.wikipedia.org/wiki/Ulmus_rubra"/>
    <hyperlink ref="B188" r:id="rId374" display="Red Maple&#10;(US &quot;soft&quot;)"/>
    <hyperlink ref="S188" r:id="rId375" display="https://en.wikipedia.org/wiki/Acer_rubrum"/>
    <hyperlink ref="B189" r:id="rId376" display="Red Oak"/>
    <hyperlink ref="S189" r:id="rId377" display="https://en.wikipedia.org/wiki/Quercus_rubra"/>
    <hyperlink ref="B190" r:id="rId378" display="Red Pine"/>
    <hyperlink ref="S190" r:id="rId379" display="https://en.wikipedia.org/wiki/Pinus_resinosa"/>
    <hyperlink ref="B191" r:id="rId380" display="Red Spruce (Adirondack)"/>
    <hyperlink ref="S191" r:id="rId381" display="https://en.wikipedia.org/wiki/Picea_rubens"/>
    <hyperlink ref="B192" r:id="rId382" display="Redheart"/>
    <hyperlink ref="S192" r:id="rId383" display="https://en.wikipedia.org/wiki/Erythroxylum"/>
    <hyperlink ref="B193" r:id="rId384" display="Santos Mahogany (not Mahogany)"/>
    <hyperlink ref="S193" r:id="rId385" display="https://en.wikipedia.org/wiki/Myroxylon_balsamum"/>
    <hyperlink ref="B194" r:id="rId386" display="Sapele"/>
    <hyperlink ref="S194" r:id="rId387" display="https://en.wikipedia.org/wiki/Sapele"/>
    <hyperlink ref="B195" r:id="rId388" display="Sassafras"/>
    <hyperlink ref="S195" r:id="rId389" display="https://en.wikipedia.org/wiki/Sassafras_albidum"/>
    <hyperlink ref="B196" r:id="rId390" display="Scots Pine"/>
    <hyperlink ref="S196" r:id="rId391" display="https://en.wikipedia.org/wiki/Pinus_sylvestris"/>
    <hyperlink ref="B197" r:id="rId392" display="Shagbark Hickory"/>
    <hyperlink ref="S197" r:id="rId393" display="https://en.wikipedia.org/wiki/Carya_ovata"/>
    <hyperlink ref="B198" r:id="rId394" display="Shortleaf Pine"/>
    <hyperlink ref="S198" r:id="rId395" display="https://en.wikipedia.org/wiki/Pinus_echinata"/>
    <hyperlink ref="B199" r:id="rId396" display="Siam Balsa"/>
    <hyperlink ref="S199" r:id="rId397" display="https://en.wikipedia.org/wiki/Alstonia_spatulata"/>
    <hyperlink ref="B200" r:id="rId398" display="Siamese Rosewood"/>
    <hyperlink ref="S200" r:id="rId399" display="https://en.wikipedia.org/wiki/Dalbergia_cochinchinensis"/>
    <hyperlink ref="B201" r:id="rId400" display="Silver Maple (US &quot;soft&quot;)"/>
    <hyperlink ref="S201" r:id="rId401" display="https://en.wikipedia.org/wiki/Acer_saccharinum"/>
    <hyperlink ref="B202" r:id="rId402" display="Sissoo (rosewood)"/>
    <hyperlink ref="S202" r:id="rId403" display="https://en.wikipedia.org/wiki/Dalbergia_sissoo"/>
    <hyperlink ref="B203" r:id="rId404" display="Sitka Spruce"/>
    <hyperlink ref="S203" r:id="rId405" display="https://en.wikipedia.org/wiki/Picea_sitchensis"/>
    <hyperlink ref="B204" r:id="rId406" display="Slash Pine"/>
    <hyperlink ref="S204" r:id="rId407" display="https://en.wikipedia.org/wiki/Pinus_elliottii"/>
    <hyperlink ref="B205" r:id="rId408" display="Snakewood"/>
    <hyperlink ref="S205" r:id="rId409" display="https://en.wikipedia.org/wiki/Brosimum_guianense"/>
    <hyperlink ref="B206" r:id="rId410" display="Southern Redcedar"/>
    <hyperlink ref="S206" r:id="rId411" display="https://en.wikipedia.org/wiki/Juniperus_virginiana"/>
    <hyperlink ref="B207" r:id="rId412" display="Southern Silky Oak"/>
    <hyperlink ref="S207" r:id="rId413" display="https://en.wikipedia.org/wiki/Grevillea_robusta"/>
    <hyperlink ref="B208" r:id="rId414" display="Spanish Cedar"/>
    <hyperlink ref="S208" r:id="rId415" display="https://en.wikipedia.org/wiki/Cedrela_odorata"/>
    <hyperlink ref="B209" r:id="rId416" display="Spruce Pine"/>
    <hyperlink ref="S209" r:id="rId417" display="https://en.wikipedia.org/wiki/Pinus_glabra"/>
    <hyperlink ref="B210" r:id="rId418" display="Striped Maple"/>
    <hyperlink ref="S210" r:id="rId419" display="https://en.wikipedia.org/wiki/Acer_pensylvanicum"/>
    <hyperlink ref="B211" r:id="rId420" display="Subalpine Fir"/>
    <hyperlink ref="S211" r:id="rId421" display="https://en.wikipedia.org/wiki/Abies_lasiocarpa"/>
    <hyperlink ref="B212" r:id="rId422" display="Sugar Pine"/>
    <hyperlink ref="S212" r:id="rId423" display="https://en.wikipedia.org/wiki/Pinus_lambertiana"/>
    <hyperlink ref="B213" r:id="rId424" display="Sugi (Japanese Cedar)"/>
    <hyperlink ref="S213" r:id="rId425" display="https://en.wikipedia.org/wiki/Cryptomeria"/>
    <hyperlink ref="B214" r:id="rId426" display="Sweet Cherry"/>
    <hyperlink ref="S214" r:id="rId427" display="https://en.wikipedia.org/wiki/Prunus_avium"/>
    <hyperlink ref="B215" r:id="rId428" display="Sweet Chestnut"/>
    <hyperlink ref="S215" r:id="rId429" display="https://en.wikipedia.org/wiki/Castanea_sativa"/>
    <hyperlink ref="B216" r:id="rId430" display="Sweetbay (Swamp Magnolia)"/>
    <hyperlink ref="S216" r:id="rId431" display="https://en.wikipedia.org/wiki/Magnolia_virginiana"/>
    <hyperlink ref="B217" r:id="rId432" display="Sweetgum (Red gum)"/>
    <hyperlink ref="S217" r:id="rId433" display="https://en.wikipedia.org/wiki/Liquidambar_styraciflua"/>
    <hyperlink ref="B218" r:id="rId434" display="American Sycamore"/>
    <hyperlink ref="S218" r:id="rId435" display="https://en.wikipedia.org/wiki/Platanus_occidentalis"/>
    <hyperlink ref="B219" r:id="rId436" display="Sycamore Maple (European Maple, violins)"/>
    <hyperlink ref="S219" r:id="rId437" display="https://en.wikipedia.org/wiki/Acer_pseudoplatanus"/>
    <hyperlink ref="B220" r:id="rId438" display="Tamo Ash"/>
    <hyperlink ref="S220" r:id="rId439" display="https://en.wikipedia.org/wiki/Fraxinus_mandschurica"/>
    <hyperlink ref="B221" r:id="rId440" display="Tanoak"/>
    <hyperlink ref="S221" r:id="rId441" display="https://en.wikipedia.org/wiki/Notholithocarpus"/>
    <hyperlink ref="B222" r:id="rId442" display="Teak"/>
    <hyperlink ref="S222" r:id="rId443" display="https://en.wikipedia.org/wiki/Teak"/>
    <hyperlink ref="B223" r:id="rId444" display="Texas Ebony (not Ebony)"/>
    <hyperlink ref="S223" r:id="rId445" display="https://en.wikipedia.org/wiki/Ebenopsis_ebano"/>
    <hyperlink ref="B224" r:id="rId446" display="Brazilian Tulipwood (rosewood)"/>
    <hyperlink ref="S224" r:id="rId447" location="Brazilian" display="https://en.wikipedia.org/wiki/Tulipwood"/>
    <hyperlink ref="B225" r:id="rId448" display="Tzalam (Sabicu)"/>
    <hyperlink ref="S225" r:id="rId449" display="https://en.wikipedia.org/wiki/Sabicu_wood"/>
    <hyperlink ref="B226" r:id="rId450" display="Utile (Sipo)"/>
    <hyperlink ref="S226" r:id="rId451" display="https://en.wikipedia.org/wiki/Entandrophragma_utile"/>
    <hyperlink ref="B227" r:id="rId452" display="Verawood"/>
    <hyperlink ref="S227" r:id="rId453" display="https://en.wikipedia.org/wiki/Bulnesia_arborea"/>
    <hyperlink ref="B228" r:id="rId454" display="Wamara"/>
    <hyperlink ref="S228" r:id="rId455" display="https://en.wikipedia.org/wiki/Swartzia"/>
    <hyperlink ref="B229" r:id="rId456" display="Wenge"/>
    <hyperlink ref="S229" r:id="rId457" display="https://en.wikipedia.org/wiki/Millettia_laurentii"/>
    <hyperlink ref="B230" r:id="rId458" display="Western Hemlock"/>
    <hyperlink ref="S230" r:id="rId459" display="https://en.wikipedia.org/wiki/Tsuga_heterophylla"/>
    <hyperlink ref="B231" r:id="rId460" display="Western Juniper (OSU-Klamath)"/>
    <hyperlink ref="S231" r:id="rId461" display="https://en.wikipedia.org/wiki/Juniperus_occidentalis"/>
    <hyperlink ref="B232" r:id="rId462" display="Western Juniper"/>
    <hyperlink ref="S232" r:id="rId463" display="https://en.wikipedia.org/wiki/Juniperus_occidentalis"/>
    <hyperlink ref="B233" r:id="rId464" display="Western Larch"/>
    <hyperlink ref="S233" r:id="rId465" display="https://en.wikipedia.org/wiki/Western_larch"/>
    <hyperlink ref="B234" r:id="rId466" display="Western Red Cedar"/>
    <hyperlink ref="S234" r:id="rId467" display="https://en.wikipedia.org/wiki/Thuja_plicata"/>
    <hyperlink ref="B235" r:id="rId468" display="Western White Pine"/>
    <hyperlink ref="S235" r:id="rId469" display="https://en.wikipedia.org/wiki/Western_white_pine"/>
    <hyperlink ref="B236" r:id="rId470" display="White Ash"/>
    <hyperlink ref="S236" r:id="rId471" display="https://en.wikipedia.org/wiki/Fraxinus_americana"/>
    <hyperlink ref="B237" r:id="rId472" display="White fir"/>
    <hyperlink ref="S237" r:id="rId473" display="https://en.wikipedia.org/wiki/Abies_concolor"/>
    <hyperlink ref="B238" r:id="rId474" display="White Oak"/>
    <hyperlink ref="S238" r:id="rId475" display="https://en.wikipedia.org/wiki/Quercus_alba"/>
    <hyperlink ref="B239" r:id="rId476" display="White Poplar"/>
    <hyperlink ref="S239" r:id="rId477" display="https://en.wikipedia.org/wiki/Populus_alba"/>
    <hyperlink ref="B240" r:id="rId478" display="White Spruce"/>
    <hyperlink ref="S240" r:id="rId479" display="https://en.wikipedia.org/wiki/Picea_glauca"/>
    <hyperlink ref="B241" r:id="rId480" display="White Willow"/>
    <hyperlink ref="S241" r:id="rId481" display="https://en.wikipedia.org/wiki/Salix_alba"/>
    <hyperlink ref="B242" r:id="rId482" display="Yellow Birch"/>
    <hyperlink ref="S242" r:id="rId483" display="https://en.wikipedia.org/wiki/Betula_alleghaniensis"/>
    <hyperlink ref="B243" r:id="rId484" display="Yellow Buckeye"/>
    <hyperlink ref="S243" r:id="rId485" display="https://en.wikipedia.org/wiki/Aesculus_flava"/>
    <hyperlink ref="B244" r:id="rId486" display="Yellowheart (Pau Amarello)"/>
    <hyperlink ref="S244" r:id="rId487" display="https://en.wikipedia.org/wiki/Euxylophora"/>
    <hyperlink ref="B245" r:id="rId488" display="Yucatan Rosewood"/>
    <hyperlink ref="S245" r:id="rId489" display="https://en.wikipedia.org/wiki/Pterocarpus_indicus"/>
    <hyperlink ref="B246" r:id="rId490" display="Zebrawood"/>
    <hyperlink ref="S246" r:id="rId491" display="https://en.wikipedia.org/wiki/Microberlinia_brazzavillensis"/>
    <hyperlink ref="B247" r:id="rId492" display="Ziricote"/>
    <hyperlink ref="S247" r:id="rId493" display="https://en.wikipedia.org/wiki/Cordia_dodecandra"/>
  </hyperlinks>
  <printOptions headings="false" gridLines="true" gridLinesSet="true" horizontalCentered="false" verticalCentered="false"/>
  <pageMargins left="0.124305555555556" right="0" top="0.265972222222222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14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66" activeCellId="0" sqref="C6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7.38"/>
    <col collapsed="false" customWidth="true" hidden="false" outlineLevel="0" max="2" min="2" style="1" width="26.75"/>
  </cols>
  <sheetData>
    <row r="1" customFormat="false" ht="15.75" hidden="false" customHeight="true" outlineLevel="0" collapsed="false">
      <c r="A1" s="50" t="s">
        <v>1491</v>
      </c>
      <c r="B1" s="50" t="s">
        <v>1492</v>
      </c>
      <c r="C1" s="50" t="s">
        <v>1493</v>
      </c>
      <c r="D1" s="50" t="s">
        <v>28</v>
      </c>
      <c r="E1" s="50" t="s">
        <v>20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customFormat="false" ht="15.75" hidden="false" customHeight="true" outlineLevel="0" collapsed="false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customFormat="false" ht="15.75" hidden="false" customHeight="true" outlineLevel="0" collapsed="false">
      <c r="A3" s="51" t="s">
        <v>1494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customFormat="false" ht="15.75" hidden="false" customHeight="true" outlineLevel="0" collapsed="false">
      <c r="A4" s="51"/>
      <c r="B4" s="51" t="s">
        <v>1495</v>
      </c>
      <c r="C4" s="51" t="n">
        <v>530</v>
      </c>
      <c r="D4" s="51" t="s">
        <v>31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customFormat="false" ht="15.75" hidden="false" customHeight="true" outlineLevel="0" collapsed="false">
      <c r="A5" s="51"/>
      <c r="B5" s="51" t="s">
        <v>1496</v>
      </c>
      <c r="C5" s="51" t="n">
        <v>500</v>
      </c>
      <c r="D5" s="51" t="s">
        <v>31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customFormat="false" ht="15.75" hidden="false" customHeight="true" outlineLevel="0" collapsed="false">
      <c r="A6" s="51"/>
      <c r="B6" s="51" t="s">
        <v>1497</v>
      </c>
      <c r="C6" s="52" t="n">
        <v>88</v>
      </c>
      <c r="D6" s="51" t="s">
        <v>1498</v>
      </c>
      <c r="E6" s="51" t="s">
        <v>1499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customFormat="false" ht="15.75" hidden="false" customHeight="true" outlineLevel="0" collapsed="false">
      <c r="A7" s="51"/>
      <c r="B7" s="51" t="s">
        <v>1500</v>
      </c>
      <c r="C7" s="52" t="n">
        <v>38</v>
      </c>
      <c r="D7" s="51" t="s">
        <v>1498</v>
      </c>
      <c r="E7" s="51" t="s">
        <v>1499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customFormat="false" ht="15.75" hidden="false" customHeight="true" outlineLevel="0" collapsed="false">
      <c r="A8" s="51"/>
      <c r="B8" s="51" t="s">
        <v>1501</v>
      </c>
      <c r="C8" s="52" t="n">
        <v>96</v>
      </c>
      <c r="D8" s="51" t="s">
        <v>1498</v>
      </c>
      <c r="E8" s="51" t="s">
        <v>1502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customFormat="false" ht="15.75" hidden="false" customHeight="true" outlineLevel="0" collapsed="false">
      <c r="A9" s="51"/>
      <c r="B9" s="51" t="s">
        <v>1503</v>
      </c>
      <c r="C9" s="52" t="n">
        <v>34</v>
      </c>
      <c r="D9" s="51" t="s">
        <v>1498</v>
      </c>
      <c r="E9" s="51" t="s">
        <v>1502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customFormat="false" ht="15.75" hidden="false" customHeight="true" outlineLevel="0" collapsed="false">
      <c r="A10" s="51"/>
      <c r="B10" s="51" t="s">
        <v>1504</v>
      </c>
      <c r="C10" s="53" t="n">
        <v>0.008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customFormat="false" ht="15.75" hidden="false" customHeight="true" outlineLevel="0" collapsed="false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customFormat="false" ht="15.75" hidden="false" customHeight="true" outlineLevel="0" collapsed="false">
      <c r="A12" s="51" t="s">
        <v>1505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customFormat="false" ht="15.75" hidden="false" customHeight="true" outlineLevel="0" collapsed="false">
      <c r="A13" s="51"/>
      <c r="B13" s="51" t="s">
        <v>1506</v>
      </c>
      <c r="C13" s="54" t="n">
        <v>0.56</v>
      </c>
      <c r="D13" s="51" t="s">
        <v>1507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customFormat="false" ht="15.75" hidden="false" customHeight="true" outlineLevel="0" collapsed="false">
      <c r="A14" s="51"/>
      <c r="B14" s="51" t="s">
        <v>1508</v>
      </c>
      <c r="C14" s="51" t="n">
        <v>0.229</v>
      </c>
      <c r="D14" s="51" t="s">
        <v>1507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customFormat="false" ht="15.75" hidden="false" customHeight="true" outlineLevel="0" collapsed="false">
      <c r="A15" s="51"/>
      <c r="B15" s="51" t="s">
        <v>1509</v>
      </c>
      <c r="C15" s="55" t="n">
        <v>0.0032</v>
      </c>
      <c r="D15" s="51" t="s">
        <v>1507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customFormat="false" ht="15.75" hidden="false" customHeight="true" outlineLevel="0" collapsed="false">
      <c r="A16" s="51" t="s">
        <v>1510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customFormat="false" ht="15.75" hidden="false" customHeight="true" outlineLevel="0" collapsed="false">
      <c r="A17" s="51"/>
      <c r="B17" s="51" t="s">
        <v>1506</v>
      </c>
      <c r="C17" s="54" t="n">
        <v>0.49</v>
      </c>
      <c r="D17" s="51" t="s">
        <v>1507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customFormat="false" ht="15.75" hidden="false" customHeight="true" outlineLevel="0" collapsed="false">
      <c r="A18" s="51"/>
      <c r="B18" s="51" t="s">
        <v>1508</v>
      </c>
      <c r="C18" s="54" t="n">
        <v>0.39</v>
      </c>
      <c r="D18" s="51" t="s">
        <v>1507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customFormat="false" ht="15.75" hidden="false" customHeight="true" outlineLevel="0" collapsed="false">
      <c r="A19" s="51"/>
      <c r="B19" s="51" t="s">
        <v>1511</v>
      </c>
      <c r="C19" s="56" t="n">
        <v>0.144215</v>
      </c>
      <c r="D19" s="51" t="s">
        <v>1512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customFormat="false" ht="15.75" hidden="false" customHeight="true" outlineLevel="0" collapsed="false">
      <c r="A20" s="51"/>
      <c r="B20" s="51" t="s">
        <v>1513</v>
      </c>
      <c r="C20" s="51" t="n">
        <v>75</v>
      </c>
      <c r="D20" s="51" t="s">
        <v>1498</v>
      </c>
      <c r="E20" s="51" t="s">
        <v>1514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customFormat="false" ht="15.75" hidden="false" customHeight="true" outlineLevel="0" collapsed="false">
      <c r="A21" s="51"/>
      <c r="B21" s="51" t="s">
        <v>1515</v>
      </c>
      <c r="C21" s="51" t="n">
        <v>55</v>
      </c>
      <c r="D21" s="51" t="s">
        <v>1498</v>
      </c>
      <c r="E21" s="51" t="s">
        <v>1514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customFormat="false" ht="15.75" hidden="false" customHeight="true" outlineLevel="0" collapsed="false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customFormat="false" ht="15.75" hidden="false" customHeight="true" outlineLevel="0" collapsed="false">
      <c r="A23" s="51" t="s">
        <v>1516</v>
      </c>
      <c r="B23" s="51"/>
      <c r="C23" s="51"/>
      <c r="D23" s="51" t="s">
        <v>1517</v>
      </c>
      <c r="E23" s="51" t="s">
        <v>1518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customFormat="false" ht="15.75" hidden="false" customHeight="true" outlineLevel="0" collapsed="false">
      <c r="A24" s="51"/>
      <c r="B24" s="51" t="s">
        <v>1519</v>
      </c>
      <c r="C24" s="57" t="n">
        <f aca="false">D24</f>
        <v>126</v>
      </c>
      <c r="D24" s="57" t="n">
        <v>126</v>
      </c>
      <c r="E24" s="58" t="n">
        <f aca="false">756/31</f>
        <v>24.3870967741935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customFormat="false" ht="15.75" hidden="false" customHeight="true" outlineLevel="0" collapsed="false">
      <c r="A25" s="51"/>
      <c r="B25" s="51" t="s">
        <v>1520</v>
      </c>
      <c r="C25" s="59" t="n">
        <f aca="false">D25</f>
        <v>0.571428571428571</v>
      </c>
      <c r="D25" s="58" t="n">
        <f aca="false">4/7</f>
        <v>0.571428571428571</v>
      </c>
      <c r="E25" s="58" t="n">
        <f aca="false">867/434</f>
        <v>1.99769585253456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customFormat="false" ht="15.75" hidden="false" customHeight="true" outlineLevel="0" collapsed="false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customFormat="false" ht="15.75" hidden="false" customHeight="true" outlineLevel="0" collapsed="false">
      <c r="A27" s="60"/>
      <c r="B27" s="61" t="s">
        <v>5</v>
      </c>
      <c r="C27" s="62" t="s">
        <v>41</v>
      </c>
      <c r="D27" s="62" t="s">
        <v>42</v>
      </c>
      <c r="E27" s="62" t="s">
        <v>1521</v>
      </c>
      <c r="F27" s="63" t="s">
        <v>1522</v>
      </c>
      <c r="G27" s="63" t="s">
        <v>1523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customFormat="false" ht="15.75" hidden="false" customHeight="true" outlineLevel="0" collapsed="false">
      <c r="A28" s="64" t="s">
        <v>1524</v>
      </c>
      <c r="B28" s="60"/>
      <c r="C28" s="65"/>
      <c r="D28" s="65"/>
      <c r="E28" s="65"/>
      <c r="F28" s="66"/>
      <c r="G28" s="66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customFormat="false" ht="15.75" hidden="false" customHeight="true" outlineLevel="0" collapsed="false">
      <c r="A29" s="67" t="s">
        <v>1525</v>
      </c>
      <c r="B29" s="68" t="n">
        <v>350</v>
      </c>
      <c r="C29" s="69" t="n">
        <v>0.337</v>
      </c>
      <c r="D29" s="70" t="n">
        <v>0.048</v>
      </c>
      <c r="E29" s="69" t="n">
        <f aca="false">C29*D29</f>
        <v>0.016176</v>
      </c>
      <c r="F29" s="71" t="n">
        <f aca="false">1-C29*D29</f>
        <v>0.983824</v>
      </c>
      <c r="G29" s="71" t="n">
        <f aca="false">(12 * (1 - E29)) / ((PI()/2)^2 * (3/2)^4)</f>
        <v>0.94513504877738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customFormat="false" ht="15.75" hidden="false" customHeight="true" outlineLevel="0" collapsed="false">
      <c r="A30" s="67" t="s">
        <v>1526</v>
      </c>
      <c r="B30" s="68" t="n">
        <v>370</v>
      </c>
      <c r="C30" s="69" t="n">
        <v>0.378</v>
      </c>
      <c r="D30" s="70" t="n">
        <v>0.048</v>
      </c>
      <c r="E30" s="69" t="n">
        <f aca="false">C30*D30</f>
        <v>0.018144</v>
      </c>
      <c r="F30" s="71" t="n">
        <f aca="false">1-C30*D30</f>
        <v>0.981856</v>
      </c>
      <c r="G30" s="71" t="n">
        <f aca="false">(12 * (1 - E30)) / ((PI()/2)^2 * (3/2)^4)</f>
        <v>0.943244440522251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customFormat="false" ht="15.75" hidden="false" customHeight="true" outlineLevel="0" collapsed="false">
      <c r="A31" s="67" t="s">
        <v>534</v>
      </c>
      <c r="B31" s="68" t="n">
        <v>385</v>
      </c>
      <c r="C31" s="69" t="n">
        <v>0.422</v>
      </c>
      <c r="D31" s="69" t="n">
        <v>0.083</v>
      </c>
      <c r="E31" s="69" t="n">
        <f aca="false">C31*D31</f>
        <v>0.035026</v>
      </c>
      <c r="F31" s="71" t="n">
        <f aca="false">1-C31*D31</f>
        <v>0.964974</v>
      </c>
      <c r="G31" s="71" t="n">
        <f aca="false">(12 * (1 - E31)) / ((PI()/2)^2 * (3/2)^4)</f>
        <v>0.927026326414993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customFormat="false" ht="15.75" hidden="false" customHeight="true" outlineLevel="0" collapsed="false">
      <c r="A32" s="67" t="s">
        <v>1282</v>
      </c>
      <c r="B32" s="68" t="n">
        <v>400</v>
      </c>
      <c r="C32" s="69" t="n">
        <v>0.356</v>
      </c>
      <c r="D32" s="70" t="n">
        <v>0.048</v>
      </c>
      <c r="E32" s="69" t="n">
        <f aca="false">C32*D32</f>
        <v>0.017088</v>
      </c>
      <c r="F32" s="71" t="n">
        <f aca="false">1-C32*D32</f>
        <v>0.982912</v>
      </c>
      <c r="G32" s="71" t="n">
        <f aca="false">(12 * (1 - E32)) / ((PI()/2)^2 * (3/2)^4)</f>
        <v>0.944258913244516</v>
      </c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customFormat="false" ht="15.75" hidden="false" customHeight="true" outlineLevel="0" collapsed="false">
      <c r="A33" s="67" t="s">
        <v>1527</v>
      </c>
      <c r="B33" s="68" t="n">
        <v>415</v>
      </c>
      <c r="C33" s="69" t="n">
        <v>0.364</v>
      </c>
      <c r="D33" s="69" t="n">
        <v>0.034</v>
      </c>
      <c r="E33" s="69" t="n">
        <f aca="false">C33*D33</f>
        <v>0.012376</v>
      </c>
      <c r="F33" s="71" t="n">
        <f aca="false">1-C33*D33</f>
        <v>0.987624</v>
      </c>
      <c r="G33" s="71" t="n">
        <f aca="false">(12 * (1 - E33)) / ((PI()/2)^2 * (3/2)^4)</f>
        <v>0.948785613497649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customFormat="false" ht="15.75" hidden="false" customHeight="true" outlineLevel="0" collapsed="false">
      <c r="A34" s="67" t="s">
        <v>432</v>
      </c>
      <c r="B34" s="68" t="n">
        <v>415</v>
      </c>
      <c r="C34" s="69" t="n">
        <v>0.36</v>
      </c>
      <c r="D34" s="70" t="n">
        <v>0.048</v>
      </c>
      <c r="E34" s="69" t="n">
        <f aca="false">C34*D34</f>
        <v>0.01728</v>
      </c>
      <c r="F34" s="71" t="n">
        <f aca="false">1-C34*D34</f>
        <v>0.98272</v>
      </c>
      <c r="G34" s="71" t="n">
        <f aca="false">(12 * (1 - E34)) / ((PI()/2)^2 * (3/2)^4)</f>
        <v>0.944074463658649</v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customFormat="false" ht="15.75" hidden="false" customHeight="true" outlineLevel="0" collapsed="false">
      <c r="A35" s="67" t="s">
        <v>1100</v>
      </c>
      <c r="B35" s="68" t="n">
        <v>415</v>
      </c>
      <c r="C35" s="69" t="n">
        <v>0.498</v>
      </c>
      <c r="D35" s="69" t="n">
        <v>0.054</v>
      </c>
      <c r="E35" s="69" t="n">
        <f aca="false">C35*D35</f>
        <v>0.026892</v>
      </c>
      <c r="F35" s="71" t="n">
        <f aca="false">1-C35*D35</f>
        <v>0.973108</v>
      </c>
      <c r="G35" s="71" t="n">
        <f aca="false">(12 * (1 - E35)) / ((PI()/2)^2 * (3/2)^4)</f>
        <v>0.934840456266221</v>
      </c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customFormat="false" ht="15.75" hidden="false" customHeight="true" outlineLevel="0" collapsed="false">
      <c r="A36" s="67" t="s">
        <v>1230</v>
      </c>
      <c r="B36" s="68" t="n">
        <v>425</v>
      </c>
      <c r="C36" s="69" t="n">
        <v>0.372</v>
      </c>
      <c r="D36" s="69" t="n">
        <v>0.04</v>
      </c>
      <c r="E36" s="69" t="n">
        <f aca="false">C36*D36</f>
        <v>0.01488</v>
      </c>
      <c r="F36" s="71" t="n">
        <f aca="false">1-C36*D36</f>
        <v>0.98512</v>
      </c>
      <c r="G36" s="71" t="n">
        <f aca="false">(12 * (1 - E36)) / ((PI()/2)^2 * (3/2)^4)</f>
        <v>0.946380083481977</v>
      </c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customFormat="false" ht="15.75" hidden="false" customHeight="true" outlineLevel="0" collapsed="false">
      <c r="A37" s="67" t="s">
        <v>192</v>
      </c>
      <c r="B37" s="68" t="n">
        <v>435</v>
      </c>
      <c r="C37" s="69" t="n">
        <v>0.498</v>
      </c>
      <c r="D37" s="70" t="n">
        <v>0.054</v>
      </c>
      <c r="E37" s="69" t="n">
        <f aca="false">C37*D37</f>
        <v>0.026892</v>
      </c>
      <c r="F37" s="71" t="n">
        <f aca="false">1-C37*D37</f>
        <v>0.973108</v>
      </c>
      <c r="G37" s="71" t="n">
        <f aca="false">(12 * (1 - E37)) / ((PI()/2)^2 * (3/2)^4)</f>
        <v>0.934840456266221</v>
      </c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customFormat="false" ht="15.75" hidden="false" customHeight="true" outlineLevel="0" collapsed="false">
      <c r="A38" s="67" t="s">
        <v>1528</v>
      </c>
      <c r="B38" s="68" t="n">
        <v>435</v>
      </c>
      <c r="C38" s="69" t="n">
        <v>0.329</v>
      </c>
      <c r="D38" s="70" t="n">
        <v>0.048</v>
      </c>
      <c r="E38" s="69" t="n">
        <f aca="false">C38*D38</f>
        <v>0.015792</v>
      </c>
      <c r="F38" s="71" t="n">
        <f aca="false">1-C38*D38</f>
        <v>0.984208</v>
      </c>
      <c r="G38" s="71" t="n">
        <f aca="false">(12 * (1 - E38)) / ((PI()/2)^2 * (3/2)^4)</f>
        <v>0.945503947949113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customFormat="false" ht="15.75" hidden="false" customHeight="true" outlineLevel="0" collapsed="false">
      <c r="A39" s="67" t="s">
        <v>504</v>
      </c>
      <c r="B39" s="68" t="n">
        <v>450</v>
      </c>
      <c r="C39" s="69" t="n">
        <v>0.344</v>
      </c>
      <c r="D39" s="69" t="n">
        <v>0.043</v>
      </c>
      <c r="E39" s="69" t="n">
        <f aca="false">C39*D39</f>
        <v>0.014792</v>
      </c>
      <c r="F39" s="71" t="n">
        <f aca="false">1-C39*D39</f>
        <v>0.985208</v>
      </c>
      <c r="G39" s="71" t="n">
        <f aca="false">(12 * (1 - E39)) / ((PI()/2)^2 * (3/2)^4)</f>
        <v>0.946464622875499</v>
      </c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customFormat="false" ht="15.75" hidden="false" customHeight="true" outlineLevel="0" collapsed="false">
      <c r="A40" s="67" t="s">
        <v>1070</v>
      </c>
      <c r="B40" s="68" t="n">
        <v>450</v>
      </c>
      <c r="C40" s="69" t="n">
        <v>0.337</v>
      </c>
      <c r="D40" s="70" t="n">
        <v>0.046</v>
      </c>
      <c r="E40" s="69" t="n">
        <f aca="false">C40*D40</f>
        <v>0.015502</v>
      </c>
      <c r="F40" s="71" t="n">
        <f aca="false">1-C40*D40</f>
        <v>0.984498</v>
      </c>
      <c r="G40" s="71" t="n">
        <f aca="false">(12 * (1 - E40)) / ((PI()/2)^2 * (3/2)^4)</f>
        <v>0.945782543677765</v>
      </c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customFormat="false" ht="15.75" hidden="false" customHeight="true" outlineLevel="0" collapsed="false">
      <c r="A41" s="67" t="s">
        <v>1076</v>
      </c>
      <c r="B41" s="68" t="n">
        <v>455</v>
      </c>
      <c r="C41" s="69" t="n">
        <v>0.318</v>
      </c>
      <c r="D41" s="69" t="n">
        <v>0.03</v>
      </c>
      <c r="E41" s="69" t="n">
        <f aca="false">C41*D41</f>
        <v>0.00954</v>
      </c>
      <c r="F41" s="71" t="n">
        <f aca="false">1-C41*D41</f>
        <v>0.99046</v>
      </c>
      <c r="G41" s="71" t="n">
        <f aca="false">(12 * (1 - E41)) / ((PI()/2)^2 * (3/2)^4)</f>
        <v>0.951510087588882</v>
      </c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customFormat="false" ht="15.75" hidden="false" customHeight="true" outlineLevel="0" collapsed="false">
      <c r="A42" s="67" t="s">
        <v>1389</v>
      </c>
      <c r="B42" s="68" t="n">
        <v>465</v>
      </c>
      <c r="C42" s="69" t="n">
        <v>0.485</v>
      </c>
      <c r="D42" s="70" t="n">
        <v>0.048</v>
      </c>
      <c r="E42" s="69" t="n">
        <f aca="false">C42*D42</f>
        <v>0.02328</v>
      </c>
      <c r="F42" s="71" t="n">
        <f aca="false">1-C42*D42</f>
        <v>0.97672</v>
      </c>
      <c r="G42" s="71" t="n">
        <f aca="false">(12 * (1 - E42)) / ((PI()/2)^2 * (3/2)^4)</f>
        <v>0.93831041410033</v>
      </c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customFormat="false" ht="15.75" hidden="false" customHeight="true" outlineLevel="0" collapsed="false">
      <c r="A43" s="64" t="s">
        <v>1529</v>
      </c>
      <c r="B43" s="60"/>
      <c r="C43" s="62" t="n">
        <f aca="false">AVERAGE(C29:C42)</f>
        <v>0.385571428571429</v>
      </c>
      <c r="D43" s="72" t="n">
        <f aca="false">AVERAGE(D29:D42)</f>
        <v>0.048</v>
      </c>
      <c r="E43" s="72" t="n">
        <f aca="false">AVERAGE(E29:E42)</f>
        <v>0.0188328571428571</v>
      </c>
      <c r="F43" s="63" t="n">
        <f aca="false">AVERAGE(F29:F42)</f>
        <v>0.981167142857143</v>
      </c>
      <c r="G43" s="63" t="n">
        <f aca="false">AVERAGE(G29:G42)</f>
        <v>0.942582672737246</v>
      </c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customFormat="false" ht="15.75" hidden="false" customHeight="true" outlineLevel="0" collapsed="false">
      <c r="A44" s="60"/>
      <c r="B44" s="60"/>
      <c r="C44" s="62" t="n">
        <f aca="false">C43</f>
        <v>0.385571428571429</v>
      </c>
      <c r="D44" s="62" t="n">
        <f aca="false">D43</f>
        <v>0.048</v>
      </c>
      <c r="E44" s="73" t="n">
        <f aca="false">C44*D44</f>
        <v>0.0185074285714286</v>
      </c>
      <c r="F44" s="71" t="n">
        <f aca="false">1-C44*D44</f>
        <v>0.981492571428571</v>
      </c>
      <c r="G44" s="71" t="n">
        <f aca="false">(12 * (1 - E44)) / ((PI()/2)^2 * (3/2)^4)</f>
        <v>0.942895303806147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customFormat="false" ht="15.75" hidden="false" customHeight="true" outlineLevel="0" collapsed="false">
      <c r="A45" s="60"/>
      <c r="B45" s="60"/>
      <c r="C45" s="65"/>
      <c r="D45" s="65"/>
      <c r="E45" s="65"/>
      <c r="F45" s="66"/>
      <c r="G45" s="66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customFormat="false" ht="15.75" hidden="false" customHeight="true" outlineLevel="0" collapsed="false">
      <c r="A46" s="64" t="s">
        <v>1530</v>
      </c>
      <c r="B46" s="60"/>
      <c r="C46" s="65"/>
      <c r="D46" s="65"/>
      <c r="E46" s="65"/>
      <c r="F46" s="66"/>
      <c r="G46" s="66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customFormat="false" ht="15.75" hidden="false" customHeight="true" outlineLevel="0" collapsed="false">
      <c r="A47" s="67" t="s">
        <v>480</v>
      </c>
      <c r="B47" s="68" t="n">
        <v>510</v>
      </c>
      <c r="C47" s="69" t="n">
        <v>0.292</v>
      </c>
      <c r="D47" s="69" t="n">
        <v>0.036</v>
      </c>
      <c r="E47" s="69" t="n">
        <f aca="false">C47*D47</f>
        <v>0.010512</v>
      </c>
      <c r="F47" s="71" t="n">
        <f aca="false">1-C47*D47</f>
        <v>0.989488</v>
      </c>
      <c r="G47" s="71" t="n">
        <f aca="false">(12 * (1 - E47)) / ((PI()/2)^2 * (3/2)^4)</f>
        <v>0.950576311560434</v>
      </c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customFormat="false" ht="15.75" hidden="false" customHeight="true" outlineLevel="0" collapsed="false">
      <c r="A48" s="67" t="s">
        <v>1531</v>
      </c>
      <c r="B48" s="68" t="n">
        <v>515</v>
      </c>
      <c r="C48" s="69" t="n">
        <v>0.338</v>
      </c>
      <c r="D48" s="74" t="n">
        <v>0.056</v>
      </c>
      <c r="E48" s="69"/>
      <c r="F48" s="71"/>
      <c r="G48" s="7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customFormat="false" ht="15.75" hidden="false" customHeight="true" outlineLevel="0" collapsed="false">
      <c r="A49" s="67" t="s">
        <v>1276</v>
      </c>
      <c r="B49" s="68" t="n">
        <v>530</v>
      </c>
      <c r="C49" s="69" t="n">
        <v>0.341</v>
      </c>
      <c r="D49" s="74" t="n">
        <v>0.056</v>
      </c>
      <c r="E49" s="69" t="n">
        <f aca="false">C49*D49</f>
        <v>0.019096</v>
      </c>
      <c r="F49" s="71" t="n">
        <f aca="false">1-C49*D49</f>
        <v>0.980904</v>
      </c>
      <c r="G49" s="71" t="n">
        <f aca="false">(12 * (1 - E49)) / ((PI()/2)^2 * (3/2)^4)</f>
        <v>0.942329877992331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customFormat="false" ht="15.75" hidden="false" customHeight="true" outlineLevel="0" collapsed="false">
      <c r="A50" s="67" t="s">
        <v>1532</v>
      </c>
      <c r="B50" s="68" t="n">
        <v>545</v>
      </c>
      <c r="C50" s="69" t="n">
        <v>0.325</v>
      </c>
      <c r="D50" s="69" t="n">
        <v>0.044</v>
      </c>
      <c r="E50" s="69" t="n">
        <f aca="false">C50*D50</f>
        <v>0.0143</v>
      </c>
      <c r="F50" s="71" t="n">
        <f aca="false">1-C50*D50</f>
        <v>0.9857</v>
      </c>
      <c r="G50" s="71" t="n">
        <f aca="false">(12 * (1 - E50)) / ((PI()/2)^2 * (3/2)^4)</f>
        <v>0.946937274939282</v>
      </c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customFormat="false" ht="15.75" hidden="false" customHeight="true" outlineLevel="0" collapsed="false">
      <c r="A51" s="67" t="s">
        <v>1533</v>
      </c>
      <c r="B51" s="68" t="n">
        <v>545</v>
      </c>
      <c r="C51" s="69" t="n">
        <v>0.297</v>
      </c>
      <c r="D51" s="69" t="n">
        <v>0.033</v>
      </c>
      <c r="E51" s="69" t="n">
        <f aca="false">C51*D51</f>
        <v>0.009801</v>
      </c>
      <c r="F51" s="71" t="n">
        <f aca="false">1-C51*D51</f>
        <v>0.990199</v>
      </c>
      <c r="G51" s="71" t="n">
        <f aca="false">(12 * (1 - E51)) / ((PI()/2)^2 * (3/2)^4)</f>
        <v>0.951259351433095</v>
      </c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customFormat="false" ht="15.75" hidden="false" customHeight="true" outlineLevel="0" collapsed="false">
      <c r="A52" s="67" t="s">
        <v>204</v>
      </c>
      <c r="B52" s="68" t="n">
        <v>560</v>
      </c>
      <c r="C52" s="69" t="n">
        <v>0.392</v>
      </c>
      <c r="D52" s="69" t="n">
        <v>0.086</v>
      </c>
      <c r="E52" s="69" t="n">
        <f aca="false">C52*D52</f>
        <v>0.033712</v>
      </c>
      <c r="F52" s="71" t="n">
        <f aca="false">1-C52*D52</f>
        <v>0.966288</v>
      </c>
      <c r="G52" s="71" t="n">
        <f aca="false">(12 * (1 - E52)) / ((PI()/2)^2 * (3/2)^4)</f>
        <v>0.928288653268265</v>
      </c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customFormat="false" ht="15.75" hidden="false" customHeight="true" outlineLevel="0" collapsed="false">
      <c r="A53" s="67" t="s">
        <v>1402</v>
      </c>
      <c r="B53" s="68" t="n">
        <v>575</v>
      </c>
      <c r="C53" s="69" t="n">
        <v>0.355</v>
      </c>
      <c r="D53" s="74" t="n">
        <v>0.056</v>
      </c>
      <c r="E53" s="69" t="n">
        <f aca="false">C53*D53</f>
        <v>0.01988</v>
      </c>
      <c r="F53" s="71" t="n">
        <f aca="false">1-C53*D53</f>
        <v>0.98012</v>
      </c>
      <c r="G53" s="71" t="n">
        <f aca="false">(12 * (1 - E53)) / ((PI()/2)^2 * (3/2)^4)</f>
        <v>0.941576708850044</v>
      </c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customFormat="false" ht="15.75" hidden="false" customHeight="true" outlineLevel="0" collapsed="false">
      <c r="A54" s="67" t="s">
        <v>671</v>
      </c>
      <c r="B54" s="68" t="n">
        <v>590</v>
      </c>
      <c r="C54" s="69" t="n">
        <v>0.314</v>
      </c>
      <c r="D54" s="69" t="n">
        <v>0.033</v>
      </c>
      <c r="E54" s="69" t="n">
        <f aca="false">C54*D54</f>
        <v>0.010362</v>
      </c>
      <c r="F54" s="71" t="n">
        <f aca="false">1-C54*D54</f>
        <v>0.989638</v>
      </c>
      <c r="G54" s="71" t="n">
        <f aca="false">(12 * (1 - E54)) / ((PI()/2)^2 * (3/2)^4)</f>
        <v>0.950720412799392</v>
      </c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customFormat="false" ht="15.75" hidden="false" customHeight="true" outlineLevel="0" collapsed="false">
      <c r="A55" s="67" t="s">
        <v>1534</v>
      </c>
      <c r="B55" s="68" t="n">
        <v>610</v>
      </c>
      <c r="C55" s="69" t="n">
        <v>0.434</v>
      </c>
      <c r="D55" s="69" t="n">
        <v>0.063</v>
      </c>
      <c r="E55" s="69" t="n">
        <f aca="false">C55*D55</f>
        <v>0.027342</v>
      </c>
      <c r="F55" s="71" t="n">
        <f aca="false">1-C55*D55</f>
        <v>0.972658</v>
      </c>
      <c r="G55" s="71" t="n">
        <f aca="false">(12 * (1 - E55)) / ((PI()/2)^2 * (3/2)^4)</f>
        <v>0.934408152549347</v>
      </c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customFormat="false" ht="15.75" hidden="false" customHeight="true" outlineLevel="0" collapsed="false">
      <c r="A56" s="67" t="s">
        <v>264</v>
      </c>
      <c r="B56" s="68" t="n">
        <v>610</v>
      </c>
      <c r="C56" s="69" t="n">
        <v>0.495</v>
      </c>
      <c r="D56" s="69" t="n">
        <v>0.052</v>
      </c>
      <c r="E56" s="69" t="n">
        <f aca="false">C56*D56</f>
        <v>0.02574</v>
      </c>
      <c r="F56" s="71" t="n">
        <f aca="false">1-C56*D56</f>
        <v>0.97426</v>
      </c>
      <c r="G56" s="71" t="n">
        <f aca="false">(12 * (1 - E56)) / ((PI()/2)^2 * (3/2)^4)</f>
        <v>0.935947153781419</v>
      </c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customFormat="false" ht="15.75" hidden="false" customHeight="true" outlineLevel="0" collapsed="false">
      <c r="A57" s="67" t="s">
        <v>809</v>
      </c>
      <c r="B57" s="68" t="n">
        <v>650</v>
      </c>
      <c r="C57" s="69" t="n">
        <v>0.332</v>
      </c>
      <c r="D57" s="74" t="n">
        <v>0.056</v>
      </c>
      <c r="E57" s="69" t="n">
        <f aca="false">C57*D57</f>
        <v>0.018592</v>
      </c>
      <c r="F57" s="71" t="n">
        <f aca="false">1-C57*D57</f>
        <v>0.981408</v>
      </c>
      <c r="G57" s="71" t="n">
        <f aca="false">(12 * (1 - E57)) / ((PI()/2)^2 * (3/2)^4)</f>
        <v>0.94281405815523</v>
      </c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customFormat="false" ht="15.75" hidden="false" customHeight="true" outlineLevel="0" collapsed="false">
      <c r="A58" s="67" t="s">
        <v>1420</v>
      </c>
      <c r="B58" s="68" t="n">
        <v>675</v>
      </c>
      <c r="C58" s="69" t="n">
        <v>0.371</v>
      </c>
      <c r="D58" s="69" t="n">
        <v>0.059</v>
      </c>
      <c r="E58" s="69" t="n">
        <f aca="false">C58*D58</f>
        <v>0.021889</v>
      </c>
      <c r="F58" s="71" t="n">
        <f aca="false">1-C58*D58</f>
        <v>0.978111</v>
      </c>
      <c r="G58" s="71" t="n">
        <f aca="false">(12 * (1 - E58)) / ((PI()/2)^2 * (3/2)^4)</f>
        <v>0.939646712922933</v>
      </c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customFormat="false" ht="15.75" hidden="false" customHeight="true" outlineLevel="0" collapsed="false">
      <c r="A59" s="67" t="s">
        <v>1457</v>
      </c>
      <c r="B59" s="68" t="n">
        <v>690</v>
      </c>
      <c r="C59" s="69" t="n">
        <v>0.426</v>
      </c>
      <c r="D59" s="69" t="n">
        <v>0.043</v>
      </c>
      <c r="E59" s="69" t="n">
        <f aca="false">C59*D59</f>
        <v>0.018318</v>
      </c>
      <c r="F59" s="71" t="n">
        <f aca="false">1-C59*D59</f>
        <v>0.981682</v>
      </c>
      <c r="G59" s="71" t="n">
        <f aca="false">(12 * (1 - E59)) / ((PI()/2)^2 * (3/2)^4)</f>
        <v>0.94307728308506</v>
      </c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customFormat="false" ht="15.75" hidden="false" customHeight="true" outlineLevel="0" collapsed="false">
      <c r="A60" s="67" t="s">
        <v>1147</v>
      </c>
      <c r="B60" s="68" t="n">
        <v>700</v>
      </c>
      <c r="C60" s="69" t="n">
        <v>0.35</v>
      </c>
      <c r="D60" s="69" t="n">
        <v>0.064</v>
      </c>
      <c r="E60" s="69" t="n">
        <f aca="false">C60*D60</f>
        <v>0.0224</v>
      </c>
      <c r="F60" s="71" t="n">
        <f aca="false">1-C60*D60</f>
        <v>0.9776</v>
      </c>
      <c r="G60" s="71" t="n">
        <f aca="false">(12 * (1 - E60)) / ((PI()/2)^2 * (3/2)^4)</f>
        <v>0.93915580803555</v>
      </c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customFormat="false" ht="15.75" hidden="false" customHeight="true" outlineLevel="0" collapsed="false">
      <c r="A61" s="67" t="s">
        <v>1535</v>
      </c>
      <c r="B61" s="68" t="n">
        <v>705</v>
      </c>
      <c r="C61" s="69" t="n">
        <v>0.424</v>
      </c>
      <c r="D61" s="69" t="n">
        <v>0.065</v>
      </c>
      <c r="E61" s="69" t="n">
        <f aca="false">C61*D61</f>
        <v>0.02756</v>
      </c>
      <c r="F61" s="71" t="n">
        <f aca="false">1-C61*D61</f>
        <v>0.97244</v>
      </c>
      <c r="G61" s="71" t="n">
        <f aca="false">(12 * (1 - E61)) / ((PI()/2)^2 * (3/2)^4)</f>
        <v>0.934198725415395</v>
      </c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customFormat="false" ht="15.75" hidden="false" customHeight="true" outlineLevel="0" collapsed="false">
      <c r="A62" s="67" t="s">
        <v>1536</v>
      </c>
      <c r="B62" s="68" t="n">
        <v>755</v>
      </c>
      <c r="C62" s="69" t="n">
        <v>0.369</v>
      </c>
      <c r="D62" s="69" t="n">
        <v>0.074</v>
      </c>
      <c r="E62" s="69" t="n">
        <f aca="false">C62*D62</f>
        <v>0.027306</v>
      </c>
      <c r="F62" s="71" t="n">
        <f aca="false">1-C62*D62</f>
        <v>0.972694</v>
      </c>
      <c r="G62" s="71" t="n">
        <f aca="false">(12 * (1 - E62)) / ((PI()/2)^2 * (3/2)^4)</f>
        <v>0.934442736846697</v>
      </c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customFormat="false" ht="15.75" hidden="false" customHeight="true" outlineLevel="0" collapsed="false">
      <c r="A63" s="64" t="s">
        <v>1529</v>
      </c>
      <c r="B63" s="60"/>
      <c r="C63" s="62" t="n">
        <f aca="false">AVERAGE(C50:C62)</f>
        <v>0.375692307692308</v>
      </c>
      <c r="D63" s="62" t="n">
        <f aca="false">AVERAGE(D50:D62)</f>
        <v>0.056</v>
      </c>
      <c r="E63" s="72" t="n">
        <f aca="false">AVERAGE(E50:E62)</f>
        <v>0.0213232307692308</v>
      </c>
      <c r="F63" s="63" t="n">
        <f aca="false">AVERAGE(F50:F62)</f>
        <v>0.978676769230769</v>
      </c>
      <c r="G63" s="63" t="n">
        <f aca="false">AVERAGE(G50:G62)</f>
        <v>0.940190233237055</v>
      </c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customFormat="false" ht="15.75" hidden="false" customHeight="true" outlineLevel="0" collapsed="false">
      <c r="A64" s="60"/>
      <c r="B64" s="60"/>
      <c r="C64" s="69" t="n">
        <f aca="false">C63</f>
        <v>0.375692307692308</v>
      </c>
      <c r="D64" s="69" t="n">
        <f aca="false">D63</f>
        <v>0.056</v>
      </c>
      <c r="E64" s="73" t="n">
        <f aca="false">C64*D64</f>
        <v>0.0210387692307692</v>
      </c>
      <c r="F64" s="71" t="n">
        <f aca="false">1-C64*D64</f>
        <v>0.978961230769231</v>
      </c>
      <c r="G64" s="71" t="n">
        <f aca="false">(12 * (1 - E64)) / ((PI()/2)^2 * (3/2)^4)</f>
        <v>0.940463508304576</v>
      </c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customFormat="false" ht="15.75" hidden="false" customHeight="true" outlineLevel="0" collapsed="false">
      <c r="A65" s="60"/>
      <c r="B65" s="60"/>
      <c r="C65" s="65"/>
      <c r="D65" s="65"/>
      <c r="E65" s="65"/>
      <c r="F65" s="66"/>
      <c r="G65" s="66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customFormat="false" ht="15.75" hidden="false" customHeight="true" outlineLevel="0" collapsed="false">
      <c r="A66" s="64" t="s">
        <v>1529</v>
      </c>
      <c r="B66" s="60"/>
      <c r="C66" s="62" t="n">
        <f aca="false">AVERAGE(C29:C42,C47:C62)</f>
        <v>0.3751</v>
      </c>
      <c r="D66" s="62" t="n">
        <f aca="false">AVERAGE(D29:D42,D47:D62)</f>
        <v>0.0516</v>
      </c>
      <c r="E66" s="62" t="n">
        <f aca="false">AVERAGE(E29:E42,E47:E62)</f>
        <v>0.0196713793103448</v>
      </c>
      <c r="F66" s="63" t="n">
        <f aca="false">AVERAGE(F29:F42,F47:F62)</f>
        <v>0.980328620689655</v>
      </c>
      <c r="G66" s="63" t="n">
        <f aca="false">AVERAGE(G29:G42,G47:G62)</f>
        <v>0.941777125515722</v>
      </c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customFormat="false" ht="15.75" hidden="false" customHeight="true" outlineLevel="0" collapsed="false">
      <c r="A67" s="64" t="s">
        <v>1537</v>
      </c>
      <c r="B67" s="60"/>
      <c r="C67" s="62" t="n">
        <f aca="false">STDEV(C29:C42,C47:C62)</f>
        <v>0.0594000754672689</v>
      </c>
      <c r="D67" s="62" t="n">
        <f aca="false">STDEV(D29:D42,D47:D62)</f>
        <v>0.0136952042952873</v>
      </c>
      <c r="E67" s="62" t="n">
        <f aca="false">STDEV(E29:E42,E47:E62)</f>
        <v>0.00692037228258398</v>
      </c>
      <c r="F67" s="63" t="n">
        <f aca="false">STDEV(F29:F42,F47:F62)</f>
        <v>0.00692037228258399</v>
      </c>
      <c r="G67" s="63" t="n">
        <f aca="false">STDEV(G29:G42,G47:G62)</f>
        <v>0.00664822813313928</v>
      </c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customFormat="false" ht="15.75" hidden="false" customHeight="true" outlineLevel="0" collapsed="false">
      <c r="A68" s="64" t="s">
        <v>1538</v>
      </c>
      <c r="B68" s="60"/>
      <c r="C68" s="75" t="n">
        <f aca="false">C67/C66</f>
        <v>0.158357972453396</v>
      </c>
      <c r="D68" s="75" t="n">
        <f aca="false">D67/D66</f>
        <v>0.26541093595518</v>
      </c>
      <c r="E68" s="75" t="n">
        <f aca="false">E67/E66</f>
        <v>0.351799036224404</v>
      </c>
      <c r="F68" s="75" t="n">
        <f aca="false">F67/F66</f>
        <v>0.00705923721549163</v>
      </c>
      <c r="G68" s="75" t="n">
        <f aca="false">G67/G66</f>
        <v>0.0070592372154916</v>
      </c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customFormat="false" ht="15.75" hidden="false" customHeight="true" outlineLevel="0" collapsed="false">
      <c r="A69" s="64" t="s">
        <v>1539</v>
      </c>
      <c r="B69" s="60"/>
      <c r="C69" s="62" t="n">
        <f aca="false">C66-C67</f>
        <v>0.315699924532731</v>
      </c>
      <c r="D69" s="62" t="n">
        <f aca="false">D66-D67</f>
        <v>0.0379047957047127</v>
      </c>
      <c r="E69" s="62" t="n">
        <f aca="false">E66-E67</f>
        <v>0.0127510070277608</v>
      </c>
      <c r="F69" s="63" t="n">
        <f aca="false">F66-F67</f>
        <v>0.973408248407071</v>
      </c>
      <c r="G69" s="63" t="n">
        <f aca="false">G66-G67</f>
        <v>0.935128897382582</v>
      </c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customFormat="false" ht="15.75" hidden="false" customHeight="true" outlineLevel="0" collapsed="false">
      <c r="A70" s="64" t="s">
        <v>1540</v>
      </c>
      <c r="B70" s="60"/>
      <c r="C70" s="62" t="n">
        <f aca="false">C66+C67</f>
        <v>0.434500075467269</v>
      </c>
      <c r="D70" s="62" t="n">
        <f aca="false">D66+D67</f>
        <v>0.0652952042952873</v>
      </c>
      <c r="E70" s="62" t="n">
        <f aca="false">E66+E67</f>
        <v>0.0265917515929288</v>
      </c>
      <c r="F70" s="63" t="n">
        <f aca="false">F66+F67</f>
        <v>0.987248992972239</v>
      </c>
      <c r="G70" s="63" t="n">
        <f aca="false">G66+G67</f>
        <v>0.948425353648861</v>
      </c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customFormat="false" ht="15.75" hidden="false" customHeight="true" outlineLevel="0" collapsed="false">
      <c r="A71" s="60"/>
      <c r="B71" s="60"/>
      <c r="C71" s="69" t="n">
        <f aca="false">C66</f>
        <v>0.3751</v>
      </c>
      <c r="D71" s="69" t="n">
        <f aca="false">D66</f>
        <v>0.0516</v>
      </c>
      <c r="E71" s="73" t="n">
        <f aca="false">C71*D71</f>
        <v>0.01935516</v>
      </c>
      <c r="F71" s="71" t="n">
        <f aca="false">1-C71*D71</f>
        <v>0.98064484</v>
      </c>
      <c r="G71" s="71" t="n">
        <f aca="false">(12 * (1 - E71)) / ((PI()/2)^2 * (3/2)^4)</f>
        <v>0.942080909478409</v>
      </c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customFormat="false" ht="15.75" hidden="false" customHeight="true" outlineLevel="0" collapsed="false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customFormat="false" ht="15.75" hidden="false" customHeight="true" outlineLevel="0" collapsed="false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customFormat="false" ht="15.75" hidden="false" customHeight="true" outlineLevel="0" collapsed="false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customFormat="false" ht="15.75" hidden="false" customHeight="true" outlineLevel="0" collapsed="false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customFormat="false" ht="15.75" hidden="false" customHeight="true" outlineLevel="0" collapsed="false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customFormat="false" ht="15.75" hidden="false" customHeight="true" outlineLevel="0" collapsed="false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customFormat="false" ht="15.75" hidden="false" customHeight="true" outlineLevel="0" collapsed="false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customFormat="false" ht="15.75" hidden="false" customHeight="true" outlineLevel="0" collapsed="false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customFormat="false" ht="15.75" hidden="false" customHeight="true" outlineLevel="0" collapsed="false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customFormat="false" ht="15.75" hidden="false" customHeight="true" outlineLevel="0" collapsed="false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customFormat="false" ht="15.75" hidden="false" customHeight="true" outlineLevel="0" collapsed="false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customFormat="false" ht="15.75" hidden="false" customHeight="true" outlineLevel="0" collapsed="false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customFormat="false" ht="15.75" hidden="false" customHeight="true" outlineLevel="0" collapsed="false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customFormat="false" ht="15.75" hidden="false" customHeight="true" outlineLevel="0" collapsed="false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customFormat="false" ht="15.75" hidden="false" customHeight="true" outlineLevel="0" collapsed="false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customFormat="false" ht="15.75" hidden="false" customHeight="true" outlineLevel="0" collapsed="false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customFormat="false" ht="15.75" hidden="false" customHeight="true" outlineLevel="0" collapsed="false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customFormat="false" ht="15.75" hidden="false" customHeight="true" outlineLevel="0" collapsed="false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customFormat="false" ht="15.75" hidden="false" customHeight="true" outlineLevel="0" collapsed="false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customFormat="false" ht="15.75" hidden="false" customHeight="true" outlineLevel="0" collapsed="false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customFormat="false" ht="15.75" hidden="false" customHeight="true" outlineLevel="0" collapsed="false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customFormat="false" ht="15.75" hidden="false" customHeight="true" outlineLevel="0" collapsed="false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customFormat="false" ht="15.75" hidden="false" customHeight="true" outlineLevel="0" collapsed="false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customFormat="false" ht="15.75" hidden="false" customHeight="true" outlineLevel="0" collapsed="false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customFormat="false" ht="15.75" hidden="false" customHeight="true" outlineLevel="0" collapsed="false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customFormat="false" ht="15.75" hidden="false" customHeight="true" outlineLevel="0" collapsed="false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customFormat="false" ht="15.75" hidden="false" customHeight="true" outlineLevel="0" collapsed="false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customFormat="false" ht="15.75" hidden="false" customHeight="true" outlineLevel="0" collapsed="false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customFormat="false" ht="15.75" hidden="false" customHeight="true" outlineLevel="0" collapsed="false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customFormat="false" ht="15.75" hidden="false" customHeight="true" outlineLevel="0" collapsed="false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customFormat="false" ht="15.75" hidden="false" customHeight="true" outlineLevel="0" collapsed="false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customFormat="false" ht="15.75" hidden="false" customHeight="tru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customFormat="false" ht="15.75" hidden="false" customHeight="true" outlineLevel="0" collapsed="false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customFormat="false" ht="15.75" hidden="false" customHeight="tru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customFormat="false" ht="15.75" hidden="false" customHeight="true" outlineLevel="0" collapsed="false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customFormat="false" ht="15.75" hidden="false" customHeight="true" outlineLevel="0" collapsed="false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customFormat="false" ht="15.75" hidden="false" customHeight="true" outlineLevel="0" collapsed="false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customFormat="false" ht="15.75" hidden="false" customHeight="true" outlineLevel="0" collapsed="false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customFormat="false" ht="15.75" hidden="false" customHeight="true" outlineLevel="0" collapsed="false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customFormat="false" ht="15.75" hidden="false" customHeight="true" outlineLevel="0" collapsed="false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customFormat="false" ht="15.75" hidden="false" customHeight="true" outlineLevel="0" collapsed="false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customFormat="false" ht="15.75" hidden="false" customHeight="true" outlineLevel="0" collapsed="false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customFormat="false" ht="15.75" hidden="false" customHeight="true" outlineLevel="0" collapsed="false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customFormat="false" ht="15.75" hidden="false" customHeight="true" outlineLevel="0" collapsed="false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customFormat="false" ht="15.75" hidden="false" customHeight="true" outlineLevel="0" collapsed="false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customFormat="false" ht="15.75" hidden="false" customHeight="true" outlineLevel="0" collapsed="false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customFormat="false" ht="15.75" hidden="false" customHeight="true" outlineLevel="0" collapsed="false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customFormat="false" ht="15.75" hidden="false" customHeight="true" outlineLevel="0" collapsed="false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customFormat="false" ht="15.75" hidden="false" customHeight="true" outlineLevel="0" collapsed="false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customFormat="false" ht="15.75" hidden="false" customHeight="true" outlineLevel="0" collapsed="false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customFormat="false" ht="15.75" hidden="false" customHeight="true" outlineLevel="0" collapsed="false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customFormat="false" ht="15.75" hidden="false" customHeight="true" outlineLevel="0" collapsed="false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customFormat="false" ht="15.75" hidden="false" customHeight="true" outlineLevel="0" collapsed="false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customFormat="false" ht="15.75" hidden="false" customHeight="true" outlineLevel="0" collapsed="false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customFormat="false" ht="15.75" hidden="false" customHeight="true" outlineLevel="0" collapsed="false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customFormat="false" ht="15.75" hidden="false" customHeight="true" outlineLevel="0" collapsed="false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customFormat="false" ht="15.75" hidden="false" customHeight="true" outlineLevel="0" collapsed="false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customFormat="false" ht="15.75" hidden="false" customHeight="true" outlineLevel="0" collapsed="false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customFormat="false" ht="15.75" hidden="false" customHeight="true" outlineLevel="0" collapsed="false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customFormat="false" ht="15.75" hidden="false" customHeight="true" outlineLevel="0" collapsed="false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customFormat="false" ht="15.75" hidden="false" customHeight="true" outlineLevel="0" collapsed="false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customFormat="false" ht="15.75" hidden="false" customHeight="true" outlineLevel="0" collapsed="false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customFormat="false" ht="15.75" hidden="false" customHeight="true" outlineLevel="0" collapsed="false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customFormat="false" ht="15.75" hidden="false" customHeight="true" outlineLevel="0" collapsed="false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customFormat="false" ht="15.75" hidden="false" customHeight="true" outlineLevel="0" collapsed="false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customFormat="false" ht="15.75" hidden="false" customHeight="true" outlineLevel="0" collapsed="false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customFormat="false" ht="15.75" hidden="false" customHeight="true" outlineLevel="0" collapsed="false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customFormat="false" ht="15.75" hidden="false" customHeight="true" outlineLevel="0" collapsed="false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customFormat="false" ht="15.75" hidden="false" customHeight="true" outlineLevel="0" collapsed="false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customFormat="false" ht="15.75" hidden="false" customHeight="true" outlineLevel="0" collapsed="false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customFormat="false" ht="15.75" hidden="false" customHeight="true" outlineLevel="0" collapsed="false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customFormat="false" ht="15.75" hidden="false" customHeight="true" outlineLevel="0" collapsed="false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customFormat="false" ht="15.75" hidden="false" customHeight="true" outlineLevel="0" collapsed="false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customFormat="false" ht="15.75" hidden="false" customHeight="true" outlineLevel="0" collapsed="false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customFormat="false" ht="15.75" hidden="false" customHeight="true" outlineLevel="0" collapsed="false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customFormat="false" ht="15.75" hidden="false" customHeight="true" outlineLevel="0" collapsed="false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customFormat="false" ht="15.75" hidden="false" customHeight="true" outlineLevel="0" collapsed="false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customFormat="false" ht="15.75" hidden="false" customHeight="true" outlineLevel="0" collapsed="false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customFormat="false" ht="15.75" hidden="false" customHeight="true" outlineLevel="0" collapsed="false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customFormat="false" ht="15.75" hidden="false" customHeight="true" outlineLevel="0" collapsed="false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customFormat="false" ht="15.75" hidden="false" customHeight="true" outlineLevel="0" collapsed="false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customFormat="false" ht="15.75" hidden="false" customHeight="true" outlineLevel="0" collapsed="false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customFormat="false" ht="15.75" hidden="false" customHeight="true" outlineLevel="0" collapsed="false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customFormat="false" ht="15.75" hidden="false" customHeight="true" outlineLevel="0" collapsed="false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customFormat="false" ht="15.75" hidden="false" customHeight="true" outlineLevel="0" collapsed="false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customFormat="false" ht="15.75" hidden="false" customHeight="true" outlineLevel="0" collapsed="false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customFormat="false" ht="15.75" hidden="false" customHeight="true" outlineLevel="0" collapsed="false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customFormat="false" ht="15.75" hidden="false" customHeight="true" outlineLevel="0" collapsed="false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customFormat="false" ht="15.75" hidden="false" customHeight="true" outlineLevel="0" collapsed="false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customFormat="false" ht="15.75" hidden="false" customHeight="true" outlineLevel="0" collapsed="false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customFormat="false" ht="15.75" hidden="false" customHeight="true" outlineLevel="0" collapsed="false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customFormat="false" ht="15.75" hidden="false" customHeight="true" outlineLevel="0" collapsed="false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customFormat="false" ht="15.75" hidden="false" customHeight="true" outlineLevel="0" collapsed="false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customFormat="false" ht="15.75" hidden="false" customHeight="true" outlineLevel="0" collapsed="false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customFormat="false" ht="15.75" hidden="false" customHeight="true" outlineLevel="0" collapsed="false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customFormat="false" ht="15.75" hidden="false" customHeight="true" outlineLevel="0" collapsed="false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customFormat="false" ht="15.75" hidden="false" customHeight="true" outlineLevel="0" collapsed="false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customFormat="false" ht="15.75" hidden="false" customHeight="true" outlineLevel="0" collapsed="false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customFormat="false" ht="15.75" hidden="false" customHeight="true" outlineLevel="0" collapsed="false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customFormat="false" ht="15.75" hidden="false" customHeight="true" outlineLevel="0" collapsed="false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customFormat="false" ht="15.75" hidden="false" customHeight="true" outlineLevel="0" collapsed="false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customFormat="false" ht="15.75" hidden="false" customHeight="true" outlineLevel="0" collapsed="false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customFormat="false" ht="15.75" hidden="false" customHeight="true" outlineLevel="0" collapsed="false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customFormat="false" ht="15.75" hidden="false" customHeight="true" outlineLevel="0" collapsed="false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customFormat="false" ht="15.75" hidden="false" customHeight="true" outlineLevel="0" collapsed="false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customFormat="false" ht="15.75" hidden="false" customHeight="true" outlineLevel="0" collapsed="false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customFormat="false" ht="15.75" hidden="false" customHeight="true" outlineLevel="0" collapsed="false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customFormat="false" ht="15.75" hidden="false" customHeight="true" outlineLevel="0" collapsed="false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customFormat="false" ht="15.75" hidden="false" customHeight="true" outlineLevel="0" collapsed="false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customFormat="false" ht="15.75" hidden="false" customHeight="true" outlineLevel="0" collapsed="false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customFormat="false" ht="15.75" hidden="false" customHeight="true" outlineLevel="0" collapsed="false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customFormat="false" ht="15.75" hidden="false" customHeight="true" outlineLevel="0" collapsed="false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customFormat="false" ht="15.75" hidden="false" customHeight="true" outlineLevel="0" collapsed="false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customFormat="false" ht="15.75" hidden="false" customHeight="true" outlineLevel="0" collapsed="false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customFormat="false" ht="15.75" hidden="false" customHeight="true" outlineLevel="0" collapsed="false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customFormat="false" ht="15.75" hidden="false" customHeight="true" outlineLevel="0" collapsed="false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customFormat="false" ht="15.75" hidden="false" customHeight="true" outlineLevel="0" collapsed="false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customFormat="false" ht="15.75" hidden="false" customHeight="true" outlineLevel="0" collapsed="false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customFormat="false" ht="15.75" hidden="false" customHeight="true" outlineLevel="0" collapsed="false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customFormat="false" ht="15.75" hidden="false" customHeight="true" outlineLevel="0" collapsed="false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customFormat="false" ht="15.75" hidden="false" customHeight="true" outlineLevel="0" collapsed="false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customFormat="false" ht="15.75" hidden="false" customHeight="true" outlineLevel="0" collapsed="false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customFormat="false" ht="15.75" hidden="false" customHeight="true" outlineLevel="0" collapsed="false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customFormat="false" ht="15.75" hidden="false" customHeight="true" outlineLevel="0" collapsed="false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customFormat="false" ht="15.75" hidden="false" customHeight="true" outlineLevel="0" collapsed="false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customFormat="false" ht="15.75" hidden="false" customHeight="true" outlineLevel="0" collapsed="false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customFormat="false" ht="15.75" hidden="false" customHeight="true" outlineLevel="0" collapsed="false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customFormat="false" ht="15.75" hidden="false" customHeight="true" outlineLevel="0" collapsed="false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customFormat="false" ht="15.75" hidden="false" customHeight="true" outlineLevel="0" collapsed="false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customFormat="false" ht="15.75" hidden="false" customHeight="true" outlineLevel="0" collapsed="false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customFormat="false" ht="15.75" hidden="false" customHeight="true" outlineLevel="0" collapsed="false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customFormat="false" ht="15.75" hidden="false" customHeight="true" outlineLevel="0" collapsed="false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customFormat="false" ht="15.75" hidden="false" customHeight="true" outlineLevel="0" collapsed="false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customFormat="false" ht="15.75" hidden="false" customHeight="true" outlineLevel="0" collapsed="false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customFormat="false" ht="15.75" hidden="false" customHeight="true" outlineLevel="0" collapsed="false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customFormat="false" ht="15.75" hidden="false" customHeight="true" outlineLevel="0" collapsed="false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customFormat="false" ht="15.75" hidden="false" customHeight="true" outlineLevel="0" collapsed="false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customFormat="false" ht="15.75" hidden="false" customHeight="true" outlineLevel="0" collapsed="false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customFormat="false" ht="15.75" hidden="false" customHeight="true" outlineLevel="0" collapsed="false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customFormat="false" ht="15.75" hidden="false" customHeight="true" outlineLevel="0" collapsed="false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customFormat="false" ht="15.75" hidden="false" customHeight="true" outlineLevel="0" collapsed="false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customFormat="false" ht="15.75" hidden="false" customHeight="true" outlineLevel="0" collapsed="false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customFormat="false" ht="15.75" hidden="false" customHeight="true" outlineLevel="0" collapsed="false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customFormat="false" ht="15.75" hidden="false" customHeight="true" outlineLevel="0" collapsed="false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customFormat="false" ht="15.75" hidden="false" customHeight="true" outlineLevel="0" collapsed="false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customFormat="false" ht="15.75" hidden="false" customHeight="true" outlineLevel="0" collapsed="false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customFormat="false" ht="15.75" hidden="false" customHeight="true" outlineLevel="0" collapsed="false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customFormat="false" ht="15.75" hidden="false" customHeight="true" outlineLevel="0" collapsed="false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customFormat="false" ht="15.75" hidden="false" customHeight="true" outlineLevel="0" collapsed="false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customFormat="false" ht="15.75" hidden="false" customHeight="true" outlineLevel="0" collapsed="false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customFormat="false" ht="15.75" hidden="false" customHeight="true" outlineLevel="0" collapsed="false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customFormat="false" ht="15.75" hidden="false" customHeight="true" outlineLevel="0" collapsed="false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customFormat="false" ht="15.75" hidden="false" customHeight="true" outlineLevel="0" collapsed="false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customFormat="false" ht="15.75" hidden="false" customHeight="true" outlineLevel="0" collapsed="false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customFormat="false" ht="15.75" hidden="false" customHeight="true" outlineLevel="0" collapsed="false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customFormat="false" ht="15.75" hidden="false" customHeight="true" outlineLevel="0" collapsed="false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customFormat="false" ht="15.75" hidden="false" customHeight="true" outlineLevel="0" collapsed="false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customFormat="false" ht="15.75" hidden="false" customHeight="true" outlineLevel="0" collapsed="false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customFormat="false" ht="15.75" hidden="false" customHeight="true" outlineLevel="0" collapsed="false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customFormat="false" ht="15.75" hidden="false" customHeight="true" outlineLevel="0" collapsed="false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customFormat="false" ht="15.75" hidden="false" customHeight="true" outlineLevel="0" collapsed="false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customFormat="false" ht="15.75" hidden="false" customHeight="true" outlineLevel="0" collapsed="false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customFormat="false" ht="15.75" hidden="false" customHeight="true" outlineLevel="0" collapsed="false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customFormat="false" ht="15.75" hidden="false" customHeight="true" outlineLevel="0" collapsed="false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customFormat="false" ht="15.75" hidden="false" customHeight="true" outlineLevel="0" collapsed="false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customFormat="false" ht="15.75" hidden="false" customHeight="true" outlineLevel="0" collapsed="false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customFormat="false" ht="15.75" hidden="false" customHeight="true" outlineLevel="0" collapsed="false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customFormat="false" ht="15.75" hidden="false" customHeight="true" outlineLevel="0" collapsed="false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customFormat="false" ht="15.75" hidden="false" customHeight="true" outlineLevel="0" collapsed="false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customFormat="false" ht="15.75" hidden="false" customHeight="true" outlineLevel="0" collapsed="false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customFormat="false" ht="15.75" hidden="false" customHeight="true" outlineLevel="0" collapsed="false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customFormat="false" ht="15.75" hidden="false" customHeight="true" outlineLevel="0" collapsed="false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customFormat="false" ht="15.75" hidden="false" customHeight="true" outlineLevel="0" collapsed="false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customFormat="false" ht="15.75" hidden="false" customHeight="true" outlineLevel="0" collapsed="false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customFormat="false" ht="15.75" hidden="false" customHeight="true" outlineLevel="0" collapsed="false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customFormat="false" ht="15.75" hidden="false" customHeight="true" outlineLevel="0" collapsed="false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customFormat="false" ht="15.75" hidden="false" customHeight="true" outlineLevel="0" collapsed="false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customFormat="false" ht="15.75" hidden="false" customHeight="true" outlineLevel="0" collapsed="false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customFormat="false" ht="15.75" hidden="false" customHeight="true" outlineLevel="0" collapsed="false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customFormat="false" ht="15.75" hidden="false" customHeight="true" outlineLevel="0" collapsed="false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customFormat="false" ht="15.75" hidden="false" customHeight="true" outlineLevel="0" collapsed="false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customFormat="false" ht="15.75" hidden="false" customHeight="true" outlineLevel="0" collapsed="false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customFormat="false" ht="15.75" hidden="false" customHeight="true" outlineLevel="0" collapsed="false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customFormat="false" ht="15.75" hidden="false" customHeight="true" outlineLevel="0" collapsed="false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customFormat="false" ht="15.75" hidden="false" customHeight="true" outlineLevel="0" collapsed="false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customFormat="false" ht="15.75" hidden="false" customHeight="true" outlineLevel="0" collapsed="false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customFormat="false" ht="15.75" hidden="false" customHeight="true" outlineLevel="0" collapsed="false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customFormat="false" ht="15.75" hidden="false" customHeight="true" outlineLevel="0" collapsed="false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customFormat="false" ht="15.75" hidden="false" customHeight="true" outlineLevel="0" collapsed="false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customFormat="false" ht="15.75" hidden="false" customHeight="true" outlineLevel="0" collapsed="false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customFormat="false" ht="15.75" hidden="false" customHeight="true" outlineLevel="0" collapsed="false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customFormat="false" ht="15.75" hidden="false" customHeight="true" outlineLevel="0" collapsed="false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customFormat="false" ht="15.75" hidden="false" customHeight="true" outlineLevel="0" collapsed="false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customFormat="false" ht="15.75" hidden="false" customHeight="true" outlineLevel="0" collapsed="false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customFormat="false" ht="15.75" hidden="false" customHeight="true" outlineLevel="0" collapsed="false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customFormat="false" ht="15.75" hidden="false" customHeight="true" outlineLevel="0" collapsed="false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customFormat="false" ht="15.75" hidden="false" customHeight="true" outlineLevel="0" collapsed="false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customFormat="false" ht="15.75" hidden="false" customHeight="true" outlineLevel="0" collapsed="false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customFormat="false" ht="15.75" hidden="false" customHeight="true" outlineLevel="0" collapsed="false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customFormat="false" ht="15.75" hidden="false" customHeight="true" outlineLevel="0" collapsed="false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customFormat="false" ht="15.75" hidden="false" customHeight="true" outlineLevel="0" collapsed="false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customFormat="false" ht="15.75" hidden="false" customHeight="true" outlineLevel="0" collapsed="false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customFormat="false" ht="15.75" hidden="false" customHeight="true" outlineLevel="0" collapsed="false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customFormat="false" ht="15.75" hidden="false" customHeight="true" outlineLevel="0" collapsed="false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customFormat="false" ht="15.75" hidden="false" customHeight="true" outlineLevel="0" collapsed="false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customFormat="false" ht="15.75" hidden="false" customHeight="true" outlineLevel="0" collapsed="false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customFormat="false" ht="15.75" hidden="false" customHeight="true" outlineLevel="0" collapsed="false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customFormat="false" ht="15.75" hidden="false" customHeight="true" outlineLevel="0" collapsed="false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customFormat="false" ht="15.75" hidden="false" customHeight="true" outlineLevel="0" collapsed="false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customFormat="false" ht="15.75" hidden="false" customHeight="true" outlineLevel="0" collapsed="false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customFormat="false" ht="15.75" hidden="false" customHeight="true" outlineLevel="0" collapsed="false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customFormat="false" ht="15.75" hidden="false" customHeight="true" outlineLevel="0" collapsed="false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customFormat="false" ht="15.75" hidden="false" customHeight="true" outlineLevel="0" collapsed="false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customFormat="false" ht="15.75" hidden="false" customHeight="true" outlineLevel="0" collapsed="false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customFormat="false" ht="15.75" hidden="false" customHeight="true" outlineLevel="0" collapsed="false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customFormat="false" ht="15.75" hidden="false" customHeight="true" outlineLevel="0" collapsed="false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customFormat="false" ht="15.75" hidden="false" customHeight="true" outlineLevel="0" collapsed="false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customFormat="false" ht="15.75" hidden="false" customHeight="true" outlineLevel="0" collapsed="false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customFormat="false" ht="15.75" hidden="false" customHeight="true" outlineLevel="0" collapsed="false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customFormat="false" ht="15.75" hidden="false" customHeight="true" outlineLevel="0" collapsed="false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customFormat="false" ht="15.75" hidden="false" customHeight="true" outlineLevel="0" collapsed="false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customFormat="false" ht="15.75" hidden="false" customHeight="true" outlineLevel="0" collapsed="false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customFormat="false" ht="15.75" hidden="false" customHeight="true" outlineLevel="0" collapsed="false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customFormat="false" ht="15.75" hidden="false" customHeight="true" outlineLevel="0" collapsed="false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customFormat="false" ht="15.75" hidden="false" customHeight="true" outlineLevel="0" collapsed="false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customFormat="false" ht="15.75" hidden="false" customHeight="true" outlineLevel="0" collapsed="false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customFormat="false" ht="15.75" hidden="false" customHeight="true" outlineLevel="0" collapsed="false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customFormat="false" ht="15.75" hidden="false" customHeight="true" outlineLevel="0" collapsed="false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customFormat="false" ht="15.75" hidden="false" customHeight="true" outlineLevel="0" collapsed="false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customFormat="false" ht="15.75" hidden="false" customHeight="true" outlineLevel="0" collapsed="false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customFormat="false" ht="15.75" hidden="false" customHeight="true" outlineLevel="0" collapsed="false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customFormat="false" ht="15.75" hidden="false" customHeight="true" outlineLevel="0" collapsed="false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customFormat="false" ht="15.75" hidden="false" customHeight="true" outlineLevel="0" collapsed="false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customFormat="false" ht="15.75" hidden="false" customHeight="true" outlineLevel="0" collapsed="false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customFormat="false" ht="15.75" hidden="false" customHeight="true" outlineLevel="0" collapsed="false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customFormat="false" ht="15.75" hidden="false" customHeight="true" outlineLevel="0" collapsed="false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customFormat="false" ht="15.75" hidden="false" customHeight="true" outlineLevel="0" collapsed="false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customFormat="false" ht="15.75" hidden="false" customHeight="true" outlineLevel="0" collapsed="false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customFormat="false" ht="15.75" hidden="false" customHeight="true" outlineLevel="0" collapsed="false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customFormat="false" ht="15.75" hidden="false" customHeight="true" outlineLevel="0" collapsed="false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customFormat="false" ht="15.75" hidden="false" customHeight="true" outlineLevel="0" collapsed="false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customFormat="false" ht="15.75" hidden="false" customHeight="true" outlineLevel="0" collapsed="false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customFormat="false" ht="15.75" hidden="false" customHeight="true" outlineLevel="0" collapsed="false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customFormat="false" ht="15.75" hidden="false" customHeight="true" outlineLevel="0" collapsed="false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customFormat="false" ht="15.75" hidden="false" customHeight="true" outlineLevel="0" collapsed="false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customFormat="false" ht="15.75" hidden="false" customHeight="true" outlineLevel="0" collapsed="false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customFormat="false" ht="15.75" hidden="false" customHeight="true" outlineLevel="0" collapsed="false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customFormat="false" ht="15.75" hidden="false" customHeight="true" outlineLevel="0" collapsed="false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customFormat="false" ht="15.75" hidden="false" customHeight="true" outlineLevel="0" collapsed="false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customFormat="false" ht="15.75" hidden="false" customHeight="true" outlineLevel="0" collapsed="false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customFormat="false" ht="15.75" hidden="false" customHeight="true" outlineLevel="0" collapsed="false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customFormat="false" ht="15.75" hidden="false" customHeight="true" outlineLevel="0" collapsed="false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customFormat="false" ht="15.75" hidden="false" customHeight="true" outlineLevel="0" collapsed="false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customFormat="false" ht="15.75" hidden="false" customHeight="true" outlineLevel="0" collapsed="false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customFormat="false" ht="15.75" hidden="false" customHeight="true" outlineLevel="0" collapsed="false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customFormat="false" ht="15.75" hidden="false" customHeight="true" outlineLevel="0" collapsed="false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customFormat="false" ht="15.75" hidden="false" customHeight="true" outlineLevel="0" collapsed="false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customFormat="false" ht="15.75" hidden="false" customHeight="true" outlineLevel="0" collapsed="false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customFormat="false" ht="15.75" hidden="false" customHeight="true" outlineLevel="0" collapsed="false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customFormat="false" ht="15.75" hidden="false" customHeight="true" outlineLevel="0" collapsed="false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customFormat="false" ht="15.75" hidden="false" customHeight="true" outlineLevel="0" collapsed="false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customFormat="false" ht="15.75" hidden="false" customHeight="true" outlineLevel="0" collapsed="false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customFormat="false" ht="15.75" hidden="false" customHeight="true" outlineLevel="0" collapsed="false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customFormat="false" ht="15.75" hidden="false" customHeight="true" outlineLevel="0" collapsed="false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customFormat="false" ht="15.75" hidden="false" customHeight="true" outlineLevel="0" collapsed="false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customFormat="false" ht="15.75" hidden="false" customHeight="true" outlineLevel="0" collapsed="false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customFormat="false" ht="15.75" hidden="false" customHeight="true" outlineLevel="0" collapsed="false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customFormat="false" ht="15.75" hidden="false" customHeight="true" outlineLevel="0" collapsed="false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customFormat="false" ht="15.75" hidden="false" customHeight="true" outlineLevel="0" collapsed="false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customFormat="false" ht="15.75" hidden="false" customHeight="true" outlineLevel="0" collapsed="false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customFormat="false" ht="15.75" hidden="false" customHeight="true" outlineLevel="0" collapsed="false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customFormat="false" ht="15.75" hidden="false" customHeight="true" outlineLevel="0" collapsed="false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customFormat="false" ht="15.75" hidden="false" customHeight="true" outlineLevel="0" collapsed="false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customFormat="false" ht="15.75" hidden="false" customHeight="true" outlineLevel="0" collapsed="false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customFormat="false" ht="15.75" hidden="false" customHeight="true" outlineLevel="0" collapsed="false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customFormat="false" ht="15.75" hidden="false" customHeight="true" outlineLevel="0" collapsed="false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customFormat="false" ht="15.75" hidden="false" customHeight="true" outlineLevel="0" collapsed="false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customFormat="false" ht="15.75" hidden="false" customHeight="true" outlineLevel="0" collapsed="false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customFormat="false" ht="15.75" hidden="false" customHeight="true" outlineLevel="0" collapsed="false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customFormat="false" ht="15.75" hidden="false" customHeight="true" outlineLevel="0" collapsed="false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customFormat="false" ht="15.75" hidden="false" customHeight="true" outlineLevel="0" collapsed="false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customFormat="false" ht="15.75" hidden="false" customHeight="true" outlineLevel="0" collapsed="false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customFormat="false" ht="15.75" hidden="false" customHeight="true" outlineLevel="0" collapsed="false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customFormat="false" ht="15.75" hidden="false" customHeight="true" outlineLevel="0" collapsed="false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customFormat="false" ht="15.75" hidden="false" customHeight="true" outlineLevel="0" collapsed="false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customFormat="false" ht="15.75" hidden="false" customHeight="true" outlineLevel="0" collapsed="false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customFormat="false" ht="15.75" hidden="false" customHeight="true" outlineLevel="0" collapsed="false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customFormat="false" ht="15.75" hidden="false" customHeight="true" outlineLevel="0" collapsed="false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customFormat="false" ht="15.75" hidden="false" customHeight="true" outlineLevel="0" collapsed="false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customFormat="false" ht="15.75" hidden="false" customHeight="true" outlineLevel="0" collapsed="false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customFormat="false" ht="15.75" hidden="false" customHeight="true" outlineLevel="0" collapsed="false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customFormat="false" ht="15.75" hidden="false" customHeight="true" outlineLevel="0" collapsed="false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customFormat="false" ht="15.75" hidden="false" customHeight="true" outlineLevel="0" collapsed="false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customFormat="false" ht="15.75" hidden="false" customHeight="true" outlineLevel="0" collapsed="false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customFormat="false" ht="15.75" hidden="false" customHeight="true" outlineLevel="0" collapsed="false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customFormat="false" ht="15.75" hidden="false" customHeight="true" outlineLevel="0" collapsed="false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customFormat="false" ht="15.75" hidden="false" customHeight="true" outlineLevel="0" collapsed="false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customFormat="false" ht="15.75" hidden="false" customHeight="true" outlineLevel="0" collapsed="false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customFormat="false" ht="15.75" hidden="false" customHeight="true" outlineLevel="0" collapsed="false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customFormat="false" ht="15.75" hidden="false" customHeight="true" outlineLevel="0" collapsed="false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customFormat="false" ht="15.75" hidden="false" customHeight="true" outlineLevel="0" collapsed="false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customFormat="false" ht="15.75" hidden="false" customHeight="true" outlineLevel="0" collapsed="false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customFormat="false" ht="15.75" hidden="false" customHeight="true" outlineLevel="0" collapsed="false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customFormat="false" ht="15.75" hidden="false" customHeight="true" outlineLevel="0" collapsed="false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customFormat="false" ht="15.75" hidden="false" customHeight="true" outlineLevel="0" collapsed="false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customFormat="false" ht="15.75" hidden="false" customHeight="true" outlineLevel="0" collapsed="false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customFormat="false" ht="15.75" hidden="false" customHeight="true" outlineLevel="0" collapsed="false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customFormat="false" ht="15.75" hidden="false" customHeight="true" outlineLevel="0" collapsed="false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customFormat="false" ht="15.75" hidden="false" customHeight="true" outlineLevel="0" collapsed="false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customFormat="false" ht="15.75" hidden="false" customHeight="true" outlineLevel="0" collapsed="false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customFormat="false" ht="15.75" hidden="false" customHeight="true" outlineLevel="0" collapsed="false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customFormat="false" ht="15.75" hidden="false" customHeight="true" outlineLevel="0" collapsed="false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customFormat="false" ht="15.75" hidden="false" customHeight="true" outlineLevel="0" collapsed="false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customFormat="false" ht="15.75" hidden="false" customHeight="true" outlineLevel="0" collapsed="false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customFormat="false" ht="15.75" hidden="false" customHeight="true" outlineLevel="0" collapsed="false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customFormat="false" ht="15.75" hidden="false" customHeight="true" outlineLevel="0" collapsed="false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customFormat="false" ht="15.75" hidden="false" customHeight="true" outlineLevel="0" collapsed="false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customFormat="false" ht="15.75" hidden="false" customHeight="true" outlineLevel="0" collapsed="false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customFormat="false" ht="15.75" hidden="false" customHeight="true" outlineLevel="0" collapsed="false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customFormat="false" ht="15.75" hidden="false" customHeight="true" outlineLevel="0" collapsed="false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customFormat="false" ht="15.75" hidden="false" customHeight="true" outlineLevel="0" collapsed="false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customFormat="false" ht="15.75" hidden="false" customHeight="true" outlineLevel="0" collapsed="false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customFormat="false" ht="15.75" hidden="false" customHeight="true" outlineLevel="0" collapsed="false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customFormat="false" ht="15.75" hidden="false" customHeight="true" outlineLevel="0" collapsed="false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customFormat="false" ht="15.75" hidden="false" customHeight="true" outlineLevel="0" collapsed="false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customFormat="false" ht="15.75" hidden="false" customHeight="true" outlineLevel="0" collapsed="false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customFormat="false" ht="15.75" hidden="false" customHeight="true" outlineLevel="0" collapsed="false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customFormat="false" ht="15.75" hidden="false" customHeight="true" outlineLevel="0" collapsed="false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customFormat="false" ht="15.75" hidden="false" customHeight="true" outlineLevel="0" collapsed="false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customFormat="false" ht="15.75" hidden="false" customHeight="true" outlineLevel="0" collapsed="false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customFormat="false" ht="15.75" hidden="false" customHeight="true" outlineLevel="0" collapsed="false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customFormat="false" ht="15.75" hidden="false" customHeight="true" outlineLevel="0" collapsed="false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customFormat="false" ht="15.75" hidden="false" customHeight="true" outlineLevel="0" collapsed="false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customFormat="false" ht="15.75" hidden="false" customHeight="true" outlineLevel="0" collapsed="false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customFormat="false" ht="15.75" hidden="false" customHeight="true" outlineLevel="0" collapsed="false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customFormat="false" ht="15.75" hidden="false" customHeight="true" outlineLevel="0" collapsed="false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customFormat="false" ht="15.75" hidden="false" customHeight="true" outlineLevel="0" collapsed="false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customFormat="false" ht="15.75" hidden="false" customHeight="true" outlineLevel="0" collapsed="false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customFormat="false" ht="15.75" hidden="false" customHeight="true" outlineLevel="0" collapsed="false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customFormat="false" ht="15.75" hidden="false" customHeight="true" outlineLevel="0" collapsed="false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customFormat="false" ht="15.75" hidden="false" customHeight="true" outlineLevel="0" collapsed="false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customFormat="false" ht="15.75" hidden="false" customHeight="true" outlineLevel="0" collapsed="false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customFormat="false" ht="15.75" hidden="false" customHeight="true" outlineLevel="0" collapsed="false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customFormat="false" ht="15.75" hidden="false" customHeight="true" outlineLevel="0" collapsed="false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customFormat="false" ht="15.75" hidden="false" customHeight="true" outlineLevel="0" collapsed="false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customFormat="false" ht="15.75" hidden="false" customHeight="true" outlineLevel="0" collapsed="false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customFormat="false" ht="15.75" hidden="false" customHeight="true" outlineLevel="0" collapsed="false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customFormat="false" ht="15.75" hidden="false" customHeight="true" outlineLevel="0" collapsed="false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customFormat="false" ht="15.75" hidden="false" customHeight="true" outlineLevel="0" collapsed="false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customFormat="false" ht="15.75" hidden="false" customHeight="true" outlineLevel="0" collapsed="false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customFormat="false" ht="15.75" hidden="false" customHeight="true" outlineLevel="0" collapsed="false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customFormat="false" ht="15.75" hidden="false" customHeight="true" outlineLevel="0" collapsed="false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customFormat="false" ht="15.75" hidden="false" customHeight="true" outlineLevel="0" collapsed="false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customFormat="false" ht="15.75" hidden="false" customHeight="true" outlineLevel="0" collapsed="false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customFormat="false" ht="15.75" hidden="false" customHeight="true" outlineLevel="0" collapsed="false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customFormat="false" ht="15.75" hidden="false" customHeight="true" outlineLevel="0" collapsed="false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customFormat="false" ht="15.75" hidden="false" customHeight="true" outlineLevel="0" collapsed="false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customFormat="false" ht="15.75" hidden="false" customHeight="true" outlineLevel="0" collapsed="false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customFormat="false" ht="15.75" hidden="false" customHeight="true" outlineLevel="0" collapsed="false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customFormat="false" ht="15.75" hidden="false" customHeight="true" outlineLevel="0" collapsed="false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customFormat="false" ht="15.75" hidden="false" customHeight="true" outlineLevel="0" collapsed="false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customFormat="false" ht="15.75" hidden="false" customHeight="true" outlineLevel="0" collapsed="false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customFormat="false" ht="15.75" hidden="false" customHeight="true" outlineLevel="0" collapsed="false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customFormat="false" ht="15.75" hidden="false" customHeight="true" outlineLevel="0" collapsed="false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customFormat="false" ht="15.75" hidden="false" customHeight="true" outlineLevel="0" collapsed="false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customFormat="false" ht="15.75" hidden="false" customHeight="true" outlineLevel="0" collapsed="false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customFormat="false" ht="15.75" hidden="false" customHeight="true" outlineLevel="0" collapsed="false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customFormat="false" ht="15.75" hidden="false" customHeight="true" outlineLevel="0" collapsed="false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customFormat="false" ht="15.75" hidden="false" customHeight="true" outlineLevel="0" collapsed="false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customFormat="false" ht="15.75" hidden="false" customHeight="true" outlineLevel="0" collapsed="false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customFormat="false" ht="15.75" hidden="false" customHeight="true" outlineLevel="0" collapsed="false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customFormat="false" ht="15.75" hidden="false" customHeight="true" outlineLevel="0" collapsed="false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customFormat="false" ht="15.75" hidden="false" customHeight="true" outlineLevel="0" collapsed="false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customFormat="false" ht="15.75" hidden="false" customHeight="true" outlineLevel="0" collapsed="false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customFormat="false" ht="15.75" hidden="false" customHeight="true" outlineLevel="0" collapsed="false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customFormat="false" ht="15.75" hidden="false" customHeight="true" outlineLevel="0" collapsed="false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customFormat="false" ht="15.75" hidden="false" customHeight="true" outlineLevel="0" collapsed="false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customFormat="false" ht="15.75" hidden="false" customHeight="true" outlineLevel="0" collapsed="false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customFormat="false" ht="15.75" hidden="false" customHeight="true" outlineLevel="0" collapsed="false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customFormat="false" ht="15.75" hidden="false" customHeight="true" outlineLevel="0" collapsed="false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customFormat="false" ht="15.75" hidden="false" customHeight="true" outlineLevel="0" collapsed="false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customFormat="false" ht="15.75" hidden="false" customHeight="true" outlineLevel="0" collapsed="false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customFormat="false" ht="15.75" hidden="false" customHeight="true" outlineLevel="0" collapsed="false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customFormat="false" ht="15.75" hidden="false" customHeight="true" outlineLevel="0" collapsed="false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customFormat="false" ht="15.75" hidden="false" customHeight="true" outlineLevel="0" collapsed="false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customFormat="false" ht="15.75" hidden="false" customHeight="true" outlineLevel="0" collapsed="false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customFormat="false" ht="15.75" hidden="false" customHeight="true" outlineLevel="0" collapsed="false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customFormat="false" ht="15.75" hidden="false" customHeight="true" outlineLevel="0" collapsed="false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customFormat="false" ht="15.75" hidden="false" customHeight="true" outlineLevel="0" collapsed="false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customFormat="false" ht="15.75" hidden="false" customHeight="true" outlineLevel="0" collapsed="false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customFormat="false" ht="15.75" hidden="false" customHeight="true" outlineLevel="0" collapsed="false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customFormat="false" ht="15.75" hidden="false" customHeight="true" outlineLevel="0" collapsed="false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customFormat="false" ht="15.75" hidden="false" customHeight="true" outlineLevel="0" collapsed="false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customFormat="false" ht="15.75" hidden="false" customHeight="true" outlineLevel="0" collapsed="false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customFormat="false" ht="15.75" hidden="false" customHeight="true" outlineLevel="0" collapsed="false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customFormat="false" ht="15.75" hidden="false" customHeight="true" outlineLevel="0" collapsed="false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customFormat="false" ht="15.75" hidden="false" customHeight="true" outlineLevel="0" collapsed="false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customFormat="false" ht="15.75" hidden="false" customHeight="true" outlineLevel="0" collapsed="false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customFormat="false" ht="15.75" hidden="false" customHeight="true" outlineLevel="0" collapsed="false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customFormat="false" ht="15.75" hidden="false" customHeight="true" outlineLevel="0" collapsed="false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customFormat="false" ht="15.75" hidden="false" customHeight="true" outlineLevel="0" collapsed="false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customFormat="false" ht="15.75" hidden="false" customHeight="true" outlineLevel="0" collapsed="false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customFormat="false" ht="15.75" hidden="false" customHeight="true" outlineLevel="0" collapsed="false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customFormat="false" ht="15.75" hidden="false" customHeight="true" outlineLevel="0" collapsed="false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customFormat="false" ht="15.75" hidden="false" customHeight="true" outlineLevel="0" collapsed="false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customFormat="false" ht="15.75" hidden="false" customHeight="true" outlineLevel="0" collapsed="false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customFormat="false" ht="15.75" hidden="false" customHeight="true" outlineLevel="0" collapsed="false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customFormat="false" ht="15.75" hidden="false" customHeight="true" outlineLevel="0" collapsed="false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customFormat="false" ht="15.75" hidden="false" customHeight="true" outlineLevel="0" collapsed="false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customFormat="false" ht="15.75" hidden="false" customHeight="true" outlineLevel="0" collapsed="false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customFormat="false" ht="15.75" hidden="false" customHeight="true" outlineLevel="0" collapsed="false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customFormat="false" ht="15.75" hidden="false" customHeight="true" outlineLevel="0" collapsed="false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customFormat="false" ht="15.75" hidden="false" customHeight="true" outlineLevel="0" collapsed="false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customFormat="false" ht="15.75" hidden="false" customHeight="true" outlineLevel="0" collapsed="false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customFormat="false" ht="15.75" hidden="false" customHeight="true" outlineLevel="0" collapsed="false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customFormat="false" ht="15.75" hidden="false" customHeight="true" outlineLevel="0" collapsed="false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customFormat="false" ht="15.75" hidden="false" customHeight="true" outlineLevel="0" collapsed="false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customFormat="false" ht="15.75" hidden="false" customHeight="true" outlineLevel="0" collapsed="false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customFormat="false" ht="15.75" hidden="false" customHeight="true" outlineLevel="0" collapsed="false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customFormat="false" ht="15.75" hidden="false" customHeight="true" outlineLevel="0" collapsed="false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customFormat="false" ht="15.75" hidden="false" customHeight="true" outlineLevel="0" collapsed="false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customFormat="false" ht="15.75" hidden="false" customHeight="true" outlineLevel="0" collapsed="false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customFormat="false" ht="15.75" hidden="false" customHeight="true" outlineLevel="0" collapsed="false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customFormat="false" ht="15.75" hidden="false" customHeight="true" outlineLevel="0" collapsed="false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customFormat="false" ht="15.75" hidden="false" customHeight="true" outlineLevel="0" collapsed="false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customFormat="false" ht="15.75" hidden="false" customHeight="true" outlineLevel="0" collapsed="false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customFormat="false" ht="15.75" hidden="false" customHeight="true" outlineLevel="0" collapsed="false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customFormat="false" ht="15.75" hidden="false" customHeight="true" outlineLevel="0" collapsed="false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customFormat="false" ht="15.75" hidden="false" customHeight="true" outlineLevel="0" collapsed="false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customFormat="false" ht="15.75" hidden="false" customHeight="true" outlineLevel="0" collapsed="false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customFormat="false" ht="15.75" hidden="false" customHeight="true" outlineLevel="0" collapsed="false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customFormat="false" ht="15.75" hidden="false" customHeight="true" outlineLevel="0" collapsed="false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customFormat="false" ht="15.75" hidden="false" customHeight="true" outlineLevel="0" collapsed="false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customFormat="false" ht="15.75" hidden="false" customHeight="true" outlineLevel="0" collapsed="false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customFormat="false" ht="15.75" hidden="false" customHeight="true" outlineLevel="0" collapsed="false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customFormat="false" ht="15.75" hidden="false" customHeight="true" outlineLevel="0" collapsed="false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customFormat="false" ht="15.75" hidden="false" customHeight="true" outlineLevel="0" collapsed="false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customFormat="false" ht="15.75" hidden="false" customHeight="true" outlineLevel="0" collapsed="false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customFormat="false" ht="15.75" hidden="false" customHeight="true" outlineLevel="0" collapsed="false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customFormat="false" ht="15.75" hidden="false" customHeight="true" outlineLevel="0" collapsed="false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customFormat="false" ht="15.75" hidden="false" customHeight="true" outlineLevel="0" collapsed="false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customFormat="false" ht="15.75" hidden="false" customHeight="true" outlineLevel="0" collapsed="false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customFormat="false" ht="15.75" hidden="false" customHeight="true" outlineLevel="0" collapsed="false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customFormat="false" ht="15.75" hidden="false" customHeight="true" outlineLevel="0" collapsed="false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customFormat="false" ht="15.75" hidden="false" customHeight="true" outlineLevel="0" collapsed="false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customFormat="false" ht="15.75" hidden="false" customHeight="true" outlineLevel="0" collapsed="false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customFormat="false" ht="15.75" hidden="false" customHeight="true" outlineLevel="0" collapsed="false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customFormat="false" ht="15.75" hidden="false" customHeight="true" outlineLevel="0" collapsed="false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customFormat="false" ht="15.75" hidden="false" customHeight="true" outlineLevel="0" collapsed="false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customFormat="false" ht="15.75" hidden="false" customHeight="true" outlineLevel="0" collapsed="false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customFormat="false" ht="15.75" hidden="false" customHeight="true" outlineLevel="0" collapsed="false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customFormat="false" ht="15.75" hidden="false" customHeight="true" outlineLevel="0" collapsed="false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customFormat="false" ht="15.75" hidden="false" customHeight="true" outlineLevel="0" collapsed="false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customFormat="false" ht="15.75" hidden="false" customHeight="true" outlineLevel="0" collapsed="false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customFormat="false" ht="15.75" hidden="false" customHeight="true" outlineLevel="0" collapsed="false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customFormat="false" ht="15.75" hidden="false" customHeight="true" outlineLevel="0" collapsed="false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customFormat="false" ht="15.75" hidden="false" customHeight="true" outlineLevel="0" collapsed="false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customFormat="false" ht="15.75" hidden="false" customHeight="true" outlineLevel="0" collapsed="false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customFormat="false" ht="15.75" hidden="false" customHeight="true" outlineLevel="0" collapsed="false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customFormat="false" ht="15.75" hidden="false" customHeight="true" outlineLevel="0" collapsed="false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customFormat="false" ht="15.75" hidden="false" customHeight="true" outlineLevel="0" collapsed="false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customFormat="false" ht="15.75" hidden="false" customHeight="true" outlineLevel="0" collapsed="false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customFormat="false" ht="15.75" hidden="false" customHeight="true" outlineLevel="0" collapsed="false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customFormat="false" ht="15.75" hidden="false" customHeight="true" outlineLevel="0" collapsed="false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customFormat="false" ht="15.75" hidden="false" customHeight="true" outlineLevel="0" collapsed="false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customFormat="false" ht="15.75" hidden="false" customHeight="true" outlineLevel="0" collapsed="false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customFormat="false" ht="15.75" hidden="false" customHeight="true" outlineLevel="0" collapsed="false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customFormat="false" ht="15.75" hidden="false" customHeight="true" outlineLevel="0" collapsed="false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customFormat="false" ht="15.75" hidden="false" customHeight="true" outlineLevel="0" collapsed="false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customFormat="false" ht="15.75" hidden="false" customHeight="true" outlineLevel="0" collapsed="false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customFormat="false" ht="15.75" hidden="false" customHeight="true" outlineLevel="0" collapsed="false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customFormat="false" ht="15.75" hidden="false" customHeight="true" outlineLevel="0" collapsed="false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customFormat="false" ht="15.75" hidden="false" customHeight="true" outlineLevel="0" collapsed="false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customFormat="false" ht="15.75" hidden="false" customHeight="true" outlineLevel="0" collapsed="false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customFormat="false" ht="15.75" hidden="false" customHeight="true" outlineLevel="0" collapsed="false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customFormat="false" ht="15.75" hidden="false" customHeight="true" outlineLevel="0" collapsed="false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customFormat="false" ht="15.75" hidden="false" customHeight="true" outlineLevel="0" collapsed="false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customFormat="false" ht="15.75" hidden="false" customHeight="true" outlineLevel="0" collapsed="false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customFormat="false" ht="15.75" hidden="false" customHeight="true" outlineLevel="0" collapsed="false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customFormat="false" ht="15.75" hidden="false" customHeight="true" outlineLevel="0" collapsed="false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customFormat="false" ht="15.75" hidden="false" customHeight="true" outlineLevel="0" collapsed="false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customFormat="false" ht="15.75" hidden="false" customHeight="true" outlineLevel="0" collapsed="false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customFormat="false" ht="15.75" hidden="false" customHeight="true" outlineLevel="0" collapsed="false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customFormat="false" ht="15.75" hidden="false" customHeight="true" outlineLevel="0" collapsed="false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customFormat="false" ht="15.75" hidden="false" customHeight="true" outlineLevel="0" collapsed="false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customFormat="false" ht="15.75" hidden="false" customHeight="true" outlineLevel="0" collapsed="false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customFormat="false" ht="15.75" hidden="false" customHeight="true" outlineLevel="0" collapsed="false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customFormat="false" ht="15.75" hidden="false" customHeight="true" outlineLevel="0" collapsed="false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customFormat="false" ht="15.75" hidden="false" customHeight="true" outlineLevel="0" collapsed="false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customFormat="false" ht="15.75" hidden="false" customHeight="true" outlineLevel="0" collapsed="false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customFormat="false" ht="15.75" hidden="false" customHeight="true" outlineLevel="0" collapsed="false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customFormat="false" ht="15.75" hidden="false" customHeight="true" outlineLevel="0" collapsed="false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customFormat="false" ht="15.75" hidden="false" customHeight="true" outlineLevel="0" collapsed="false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customFormat="false" ht="15.75" hidden="false" customHeight="true" outlineLevel="0" collapsed="false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customFormat="false" ht="15.75" hidden="false" customHeight="true" outlineLevel="0" collapsed="false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customFormat="false" ht="15.75" hidden="false" customHeight="true" outlineLevel="0" collapsed="false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customFormat="false" ht="15.75" hidden="false" customHeight="true" outlineLevel="0" collapsed="false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customFormat="false" ht="15.75" hidden="false" customHeight="true" outlineLevel="0" collapsed="false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customFormat="false" ht="15.75" hidden="false" customHeight="true" outlineLevel="0" collapsed="false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customFormat="false" ht="15.75" hidden="false" customHeight="true" outlineLevel="0" collapsed="false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customFormat="false" ht="15.75" hidden="false" customHeight="true" outlineLevel="0" collapsed="false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customFormat="false" ht="15.75" hidden="false" customHeight="true" outlineLevel="0" collapsed="false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customFormat="false" ht="15.75" hidden="false" customHeight="true" outlineLevel="0" collapsed="false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customFormat="false" ht="15.75" hidden="false" customHeight="true" outlineLevel="0" collapsed="false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customFormat="false" ht="15.75" hidden="false" customHeight="true" outlineLevel="0" collapsed="false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customFormat="false" ht="15.75" hidden="false" customHeight="true" outlineLevel="0" collapsed="false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customFormat="false" ht="15.75" hidden="false" customHeight="true" outlineLevel="0" collapsed="false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customFormat="false" ht="15.75" hidden="false" customHeight="true" outlineLevel="0" collapsed="false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customFormat="false" ht="15.75" hidden="false" customHeight="true" outlineLevel="0" collapsed="false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customFormat="false" ht="15.75" hidden="false" customHeight="true" outlineLevel="0" collapsed="false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customFormat="false" ht="15.75" hidden="false" customHeight="true" outlineLevel="0" collapsed="false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customFormat="false" ht="15.75" hidden="false" customHeight="true" outlineLevel="0" collapsed="false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customFormat="false" ht="15.75" hidden="false" customHeight="true" outlineLevel="0" collapsed="false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customFormat="false" ht="15.75" hidden="false" customHeight="true" outlineLevel="0" collapsed="false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customFormat="false" ht="15.75" hidden="false" customHeight="true" outlineLevel="0" collapsed="false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customFormat="false" ht="15.75" hidden="false" customHeight="true" outlineLevel="0" collapsed="false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customFormat="false" ht="15.75" hidden="false" customHeight="true" outlineLevel="0" collapsed="false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customFormat="false" ht="15.75" hidden="false" customHeight="true" outlineLevel="0" collapsed="false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customFormat="false" ht="15.75" hidden="false" customHeight="true" outlineLevel="0" collapsed="false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customFormat="false" ht="15.75" hidden="false" customHeight="true" outlineLevel="0" collapsed="false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customFormat="false" ht="15.75" hidden="false" customHeight="true" outlineLevel="0" collapsed="false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customFormat="false" ht="15.75" hidden="false" customHeight="true" outlineLevel="0" collapsed="false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customFormat="false" ht="15.75" hidden="false" customHeight="true" outlineLevel="0" collapsed="false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customFormat="false" ht="15.75" hidden="false" customHeight="true" outlineLevel="0" collapsed="false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customFormat="false" ht="15.75" hidden="false" customHeight="true" outlineLevel="0" collapsed="false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customFormat="false" ht="15.75" hidden="false" customHeight="true" outlineLevel="0" collapsed="false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customFormat="false" ht="15.75" hidden="false" customHeight="true" outlineLevel="0" collapsed="false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customFormat="false" ht="15.75" hidden="false" customHeight="true" outlineLevel="0" collapsed="false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customFormat="false" ht="15.75" hidden="false" customHeight="true" outlineLevel="0" collapsed="false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customFormat="false" ht="15.75" hidden="false" customHeight="true" outlineLevel="0" collapsed="false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customFormat="false" ht="15.75" hidden="false" customHeight="true" outlineLevel="0" collapsed="false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customFormat="false" ht="15.75" hidden="false" customHeight="true" outlineLevel="0" collapsed="false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customFormat="false" ht="15.75" hidden="false" customHeight="true" outlineLevel="0" collapsed="false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customFormat="false" ht="15.75" hidden="false" customHeight="true" outlineLevel="0" collapsed="false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customFormat="false" ht="15.75" hidden="false" customHeight="true" outlineLevel="0" collapsed="false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customFormat="false" ht="15.75" hidden="false" customHeight="true" outlineLevel="0" collapsed="false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customFormat="false" ht="15.75" hidden="false" customHeight="true" outlineLevel="0" collapsed="false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customFormat="false" ht="15.75" hidden="false" customHeight="true" outlineLevel="0" collapsed="false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customFormat="false" ht="15.75" hidden="false" customHeight="true" outlineLevel="0" collapsed="false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customFormat="false" ht="15.75" hidden="false" customHeight="true" outlineLevel="0" collapsed="false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customFormat="false" ht="15.75" hidden="false" customHeight="true" outlineLevel="0" collapsed="false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customFormat="false" ht="15.75" hidden="false" customHeight="true" outlineLevel="0" collapsed="false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customFormat="false" ht="15.75" hidden="false" customHeight="true" outlineLevel="0" collapsed="false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customFormat="false" ht="15.75" hidden="false" customHeight="true" outlineLevel="0" collapsed="false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customFormat="false" ht="15.75" hidden="false" customHeight="true" outlineLevel="0" collapsed="false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customFormat="false" ht="15.75" hidden="false" customHeight="true" outlineLevel="0" collapsed="false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customFormat="false" ht="15.75" hidden="false" customHeight="true" outlineLevel="0" collapsed="false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customFormat="false" ht="15.75" hidden="false" customHeight="true" outlineLevel="0" collapsed="false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customFormat="false" ht="15.75" hidden="false" customHeight="true" outlineLevel="0" collapsed="false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customFormat="false" ht="15.75" hidden="false" customHeight="true" outlineLevel="0" collapsed="false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customFormat="false" ht="15.75" hidden="false" customHeight="true" outlineLevel="0" collapsed="false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customFormat="false" ht="15.75" hidden="false" customHeight="true" outlineLevel="0" collapsed="false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customFormat="false" ht="15.75" hidden="false" customHeight="true" outlineLevel="0" collapsed="false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customFormat="false" ht="15.75" hidden="false" customHeight="true" outlineLevel="0" collapsed="false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customFormat="false" ht="15.75" hidden="false" customHeight="true" outlineLevel="0" collapsed="false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customFormat="false" ht="15.75" hidden="false" customHeight="true" outlineLevel="0" collapsed="false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customFormat="false" ht="15.75" hidden="false" customHeight="true" outlineLevel="0" collapsed="false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customFormat="false" ht="15.75" hidden="false" customHeight="true" outlineLevel="0" collapsed="false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customFormat="false" ht="15.75" hidden="false" customHeight="true" outlineLevel="0" collapsed="false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customFormat="false" ht="15.75" hidden="false" customHeight="true" outlineLevel="0" collapsed="false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customFormat="false" ht="15.75" hidden="false" customHeight="true" outlineLevel="0" collapsed="false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customFormat="false" ht="15.75" hidden="false" customHeight="true" outlineLevel="0" collapsed="false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customFormat="false" ht="15.75" hidden="false" customHeight="true" outlineLevel="0" collapsed="false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customFormat="false" ht="15.75" hidden="false" customHeight="true" outlineLevel="0" collapsed="false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customFormat="false" ht="15.75" hidden="false" customHeight="true" outlineLevel="0" collapsed="false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customFormat="false" ht="15.75" hidden="false" customHeight="true" outlineLevel="0" collapsed="false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customFormat="false" ht="15.75" hidden="false" customHeight="true" outlineLevel="0" collapsed="false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customFormat="false" ht="15.75" hidden="false" customHeight="true" outlineLevel="0" collapsed="false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customFormat="false" ht="15.75" hidden="false" customHeight="true" outlineLevel="0" collapsed="false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customFormat="false" ht="15.75" hidden="false" customHeight="true" outlineLevel="0" collapsed="false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customFormat="false" ht="15.75" hidden="false" customHeight="true" outlineLevel="0" collapsed="false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customFormat="false" ht="15.75" hidden="false" customHeight="true" outlineLevel="0" collapsed="false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customFormat="false" ht="15.75" hidden="false" customHeight="true" outlineLevel="0" collapsed="false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customFormat="false" ht="15.75" hidden="false" customHeight="true" outlineLevel="0" collapsed="false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customFormat="false" ht="15.75" hidden="false" customHeight="true" outlineLevel="0" collapsed="false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customFormat="false" ht="15.75" hidden="false" customHeight="true" outlineLevel="0" collapsed="false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customFormat="false" ht="15.75" hidden="false" customHeight="true" outlineLevel="0" collapsed="false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customFormat="false" ht="15.75" hidden="false" customHeight="true" outlineLevel="0" collapsed="false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customFormat="false" ht="15.75" hidden="false" customHeight="true" outlineLevel="0" collapsed="false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customFormat="false" ht="15.75" hidden="false" customHeight="true" outlineLevel="0" collapsed="false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customFormat="false" ht="15.75" hidden="false" customHeight="true" outlineLevel="0" collapsed="false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customFormat="false" ht="15.75" hidden="false" customHeight="true" outlineLevel="0" collapsed="false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customFormat="false" ht="15.75" hidden="false" customHeight="true" outlineLevel="0" collapsed="false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customFormat="false" ht="15.75" hidden="false" customHeight="true" outlineLevel="0" collapsed="false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customFormat="false" ht="15.75" hidden="false" customHeight="true" outlineLevel="0" collapsed="false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customFormat="false" ht="15.75" hidden="false" customHeight="true" outlineLevel="0" collapsed="false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customFormat="false" ht="15.75" hidden="false" customHeight="true" outlineLevel="0" collapsed="false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customFormat="false" ht="15.75" hidden="false" customHeight="true" outlineLevel="0" collapsed="false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customFormat="false" ht="15.75" hidden="false" customHeight="true" outlineLevel="0" collapsed="false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customFormat="false" ht="15.75" hidden="false" customHeight="true" outlineLevel="0" collapsed="false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customFormat="false" ht="15.75" hidden="false" customHeight="true" outlineLevel="0" collapsed="false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customFormat="false" ht="15.75" hidden="false" customHeight="true" outlineLevel="0" collapsed="false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customFormat="false" ht="15.75" hidden="false" customHeight="true" outlineLevel="0" collapsed="false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customFormat="false" ht="15.75" hidden="false" customHeight="true" outlineLevel="0" collapsed="false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customFormat="false" ht="15.75" hidden="false" customHeight="true" outlineLevel="0" collapsed="false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customFormat="false" ht="15.75" hidden="false" customHeight="true" outlineLevel="0" collapsed="false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customFormat="false" ht="15.75" hidden="false" customHeight="true" outlineLevel="0" collapsed="false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customFormat="false" ht="15.75" hidden="false" customHeight="true" outlineLevel="0" collapsed="false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customFormat="false" ht="15.75" hidden="false" customHeight="true" outlineLevel="0" collapsed="false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customFormat="false" ht="15.75" hidden="false" customHeight="true" outlineLevel="0" collapsed="false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customFormat="false" ht="15.75" hidden="false" customHeight="true" outlineLevel="0" collapsed="false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customFormat="false" ht="15.75" hidden="false" customHeight="true" outlineLevel="0" collapsed="false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customFormat="false" ht="15.75" hidden="false" customHeight="true" outlineLevel="0" collapsed="false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customFormat="false" ht="15.75" hidden="false" customHeight="true" outlineLevel="0" collapsed="false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customFormat="false" ht="15.75" hidden="false" customHeight="true" outlineLevel="0" collapsed="false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customFormat="false" ht="15.75" hidden="false" customHeight="true" outlineLevel="0" collapsed="false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customFormat="false" ht="15.75" hidden="false" customHeight="true" outlineLevel="0" collapsed="false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customFormat="false" ht="15.75" hidden="false" customHeight="true" outlineLevel="0" collapsed="false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customFormat="false" ht="15.75" hidden="false" customHeight="true" outlineLevel="0" collapsed="false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customFormat="false" ht="15.75" hidden="false" customHeight="true" outlineLevel="0" collapsed="false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customFormat="false" ht="15.75" hidden="false" customHeight="true" outlineLevel="0" collapsed="false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customFormat="false" ht="15.75" hidden="false" customHeight="true" outlineLevel="0" collapsed="false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customFormat="false" ht="15.75" hidden="false" customHeight="true" outlineLevel="0" collapsed="false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customFormat="false" ht="15.75" hidden="false" customHeight="true" outlineLevel="0" collapsed="false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customFormat="false" ht="15.75" hidden="false" customHeight="true" outlineLevel="0" collapsed="false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customFormat="false" ht="15.75" hidden="false" customHeight="true" outlineLevel="0" collapsed="false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customFormat="false" ht="15.75" hidden="false" customHeight="true" outlineLevel="0" collapsed="false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customFormat="false" ht="15.75" hidden="false" customHeight="true" outlineLevel="0" collapsed="false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customFormat="false" ht="15.75" hidden="false" customHeight="true" outlineLevel="0" collapsed="false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customFormat="false" ht="15.75" hidden="false" customHeight="true" outlineLevel="0" collapsed="false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customFormat="false" ht="15.75" hidden="false" customHeight="true" outlineLevel="0" collapsed="false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customFormat="false" ht="15.75" hidden="false" customHeight="true" outlineLevel="0" collapsed="false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customFormat="false" ht="15.75" hidden="false" customHeight="true" outlineLevel="0" collapsed="false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customFormat="false" ht="15.75" hidden="false" customHeight="true" outlineLevel="0" collapsed="false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customFormat="false" ht="15.75" hidden="false" customHeight="true" outlineLevel="0" collapsed="false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customFormat="false" ht="15.75" hidden="false" customHeight="true" outlineLevel="0" collapsed="false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customFormat="false" ht="15.75" hidden="false" customHeight="true" outlineLevel="0" collapsed="false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customFormat="false" ht="15.75" hidden="false" customHeight="true" outlineLevel="0" collapsed="false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customFormat="false" ht="15.75" hidden="false" customHeight="true" outlineLevel="0" collapsed="false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customFormat="false" ht="15.75" hidden="false" customHeight="true" outlineLevel="0" collapsed="false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customFormat="false" ht="15.75" hidden="false" customHeight="true" outlineLevel="0" collapsed="false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customFormat="false" ht="15.75" hidden="false" customHeight="true" outlineLevel="0" collapsed="false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customFormat="false" ht="15.75" hidden="false" customHeight="true" outlineLevel="0" collapsed="false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customFormat="false" ht="15.75" hidden="false" customHeight="true" outlineLevel="0" collapsed="false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customFormat="false" ht="15.75" hidden="false" customHeight="true" outlineLevel="0" collapsed="false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customFormat="false" ht="15.75" hidden="false" customHeight="true" outlineLevel="0" collapsed="false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customFormat="false" ht="15.75" hidden="false" customHeight="true" outlineLevel="0" collapsed="false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customFormat="false" ht="15.75" hidden="false" customHeight="true" outlineLevel="0" collapsed="false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customFormat="false" ht="15.75" hidden="false" customHeight="true" outlineLevel="0" collapsed="false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customFormat="false" ht="15.75" hidden="false" customHeight="true" outlineLevel="0" collapsed="false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customFormat="false" ht="15.75" hidden="false" customHeight="true" outlineLevel="0" collapsed="false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customFormat="false" ht="15.75" hidden="false" customHeight="true" outlineLevel="0" collapsed="false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customFormat="false" ht="15.75" hidden="false" customHeight="true" outlineLevel="0" collapsed="false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customFormat="false" ht="15.75" hidden="false" customHeight="true" outlineLevel="0" collapsed="false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customFormat="false" ht="15.75" hidden="false" customHeight="true" outlineLevel="0" collapsed="false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customFormat="false" ht="15.75" hidden="false" customHeight="true" outlineLevel="0" collapsed="false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customFormat="false" ht="15.75" hidden="false" customHeight="true" outlineLevel="0" collapsed="false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customFormat="false" ht="15.75" hidden="false" customHeight="true" outlineLevel="0" collapsed="false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customFormat="false" ht="15.75" hidden="false" customHeight="true" outlineLevel="0" collapsed="false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customFormat="false" ht="15.75" hidden="false" customHeight="true" outlineLevel="0" collapsed="false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customFormat="false" ht="15.75" hidden="false" customHeight="true" outlineLevel="0" collapsed="false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customFormat="false" ht="15.75" hidden="false" customHeight="true" outlineLevel="0" collapsed="false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customFormat="false" ht="15.75" hidden="false" customHeight="true" outlineLevel="0" collapsed="false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customFormat="false" ht="15.75" hidden="false" customHeight="true" outlineLevel="0" collapsed="false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customFormat="false" ht="15.75" hidden="false" customHeight="true" outlineLevel="0" collapsed="false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customFormat="false" ht="15.75" hidden="false" customHeight="true" outlineLevel="0" collapsed="false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customFormat="false" ht="15.75" hidden="false" customHeight="true" outlineLevel="0" collapsed="false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customFormat="false" ht="15.75" hidden="false" customHeight="true" outlineLevel="0" collapsed="false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customFormat="false" ht="15.75" hidden="false" customHeight="true" outlineLevel="0" collapsed="false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customFormat="false" ht="15.75" hidden="false" customHeight="true" outlineLevel="0" collapsed="false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customFormat="false" ht="15.75" hidden="false" customHeight="true" outlineLevel="0" collapsed="false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customFormat="false" ht="15.75" hidden="false" customHeight="true" outlineLevel="0" collapsed="false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customFormat="false" ht="15.75" hidden="false" customHeight="true" outlineLevel="0" collapsed="false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customFormat="false" ht="15.75" hidden="false" customHeight="true" outlineLevel="0" collapsed="false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customFormat="false" ht="15.75" hidden="false" customHeight="true" outlineLevel="0" collapsed="false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customFormat="false" ht="15.75" hidden="false" customHeight="true" outlineLevel="0" collapsed="false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customFormat="false" ht="15.75" hidden="false" customHeight="true" outlineLevel="0" collapsed="false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customFormat="false" ht="15.75" hidden="false" customHeight="true" outlineLevel="0" collapsed="false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customFormat="false" ht="15.75" hidden="false" customHeight="true" outlineLevel="0" collapsed="false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customFormat="false" ht="15.75" hidden="false" customHeight="true" outlineLevel="0" collapsed="false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customFormat="false" ht="15.75" hidden="false" customHeight="true" outlineLevel="0" collapsed="false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customFormat="false" ht="15.75" hidden="false" customHeight="true" outlineLevel="0" collapsed="false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customFormat="false" ht="15.75" hidden="false" customHeight="true" outlineLevel="0" collapsed="false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customFormat="false" ht="15.75" hidden="false" customHeight="true" outlineLevel="0" collapsed="false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customFormat="false" ht="15.75" hidden="false" customHeight="true" outlineLevel="0" collapsed="false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customFormat="false" ht="15.75" hidden="false" customHeight="true" outlineLevel="0" collapsed="false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customFormat="false" ht="15.75" hidden="false" customHeight="true" outlineLevel="0" collapsed="false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customFormat="false" ht="15.75" hidden="false" customHeight="true" outlineLevel="0" collapsed="false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customFormat="false" ht="15.75" hidden="false" customHeight="true" outlineLevel="0" collapsed="false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customFormat="false" ht="15.75" hidden="false" customHeight="true" outlineLevel="0" collapsed="false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customFormat="false" ht="15.75" hidden="false" customHeight="true" outlineLevel="0" collapsed="false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customFormat="false" ht="15.75" hidden="false" customHeight="true" outlineLevel="0" collapsed="false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customFormat="false" ht="15.75" hidden="false" customHeight="true" outlineLevel="0" collapsed="false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customFormat="false" ht="15.75" hidden="false" customHeight="true" outlineLevel="0" collapsed="false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customFormat="false" ht="15.75" hidden="false" customHeight="true" outlineLevel="0" collapsed="false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customFormat="false" ht="15.75" hidden="false" customHeight="true" outlineLevel="0" collapsed="false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customFormat="false" ht="15.75" hidden="false" customHeight="true" outlineLevel="0" collapsed="false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customFormat="false" ht="15.75" hidden="false" customHeight="true" outlineLevel="0" collapsed="false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customFormat="false" ht="15.75" hidden="false" customHeight="true" outlineLevel="0" collapsed="false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customFormat="false" ht="15.75" hidden="false" customHeight="true" outlineLevel="0" collapsed="false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customFormat="false" ht="15.75" hidden="false" customHeight="true" outlineLevel="0" collapsed="false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customFormat="false" ht="15.75" hidden="false" customHeight="true" outlineLevel="0" collapsed="false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customFormat="false" ht="15.75" hidden="false" customHeight="true" outlineLevel="0" collapsed="false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customFormat="false" ht="15.75" hidden="false" customHeight="true" outlineLevel="0" collapsed="false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customFormat="false" ht="15.75" hidden="false" customHeight="true" outlineLevel="0" collapsed="false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customFormat="false" ht="15.75" hidden="false" customHeight="true" outlineLevel="0" collapsed="false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customFormat="false" ht="15.75" hidden="false" customHeight="true" outlineLevel="0" collapsed="false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customFormat="false" ht="15.75" hidden="false" customHeight="true" outlineLevel="0" collapsed="false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customFormat="false" ht="15.75" hidden="false" customHeight="true" outlineLevel="0" collapsed="false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customFormat="false" ht="15.75" hidden="false" customHeight="true" outlineLevel="0" collapsed="false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customFormat="false" ht="15.75" hidden="false" customHeight="true" outlineLevel="0" collapsed="false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customFormat="false" ht="15.75" hidden="false" customHeight="true" outlineLevel="0" collapsed="false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customFormat="false" ht="15.75" hidden="false" customHeight="true" outlineLevel="0" collapsed="false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customFormat="false" ht="15.75" hidden="false" customHeight="true" outlineLevel="0" collapsed="false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customFormat="false" ht="15.75" hidden="false" customHeight="true" outlineLevel="0" collapsed="false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customFormat="false" ht="15.75" hidden="false" customHeight="true" outlineLevel="0" collapsed="false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customFormat="false" ht="15.75" hidden="false" customHeight="true" outlineLevel="0" collapsed="false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customFormat="false" ht="15.75" hidden="false" customHeight="true" outlineLevel="0" collapsed="false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customFormat="false" ht="15.75" hidden="false" customHeight="true" outlineLevel="0" collapsed="false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customFormat="false" ht="15.75" hidden="false" customHeight="true" outlineLevel="0" collapsed="false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customFormat="false" ht="15.75" hidden="false" customHeight="true" outlineLevel="0" collapsed="false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customFormat="false" ht="15.75" hidden="false" customHeight="true" outlineLevel="0" collapsed="false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customFormat="false" ht="15.75" hidden="false" customHeight="true" outlineLevel="0" collapsed="false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customFormat="false" ht="15.75" hidden="false" customHeight="true" outlineLevel="0" collapsed="false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customFormat="false" ht="15.75" hidden="false" customHeight="true" outlineLevel="0" collapsed="false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customFormat="false" ht="15.75" hidden="false" customHeight="true" outlineLevel="0" collapsed="false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customFormat="false" ht="15.75" hidden="false" customHeight="true" outlineLevel="0" collapsed="false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customFormat="false" ht="15.75" hidden="false" customHeight="true" outlineLevel="0" collapsed="false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customFormat="false" ht="15.75" hidden="false" customHeight="true" outlineLevel="0" collapsed="false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customFormat="false" ht="15.75" hidden="false" customHeight="true" outlineLevel="0" collapsed="false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customFormat="false" ht="15.75" hidden="false" customHeight="true" outlineLevel="0" collapsed="false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customFormat="false" ht="15.75" hidden="false" customHeight="true" outlineLevel="0" collapsed="false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customFormat="false" ht="15.75" hidden="false" customHeight="true" outlineLevel="0" collapsed="false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customFormat="false" ht="15.75" hidden="false" customHeight="true" outlineLevel="0" collapsed="false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customFormat="false" ht="15.75" hidden="false" customHeight="true" outlineLevel="0" collapsed="false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customFormat="false" ht="15.75" hidden="false" customHeight="true" outlineLevel="0" collapsed="false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customFormat="false" ht="15.75" hidden="false" customHeight="true" outlineLevel="0" collapsed="false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customFormat="false" ht="15.75" hidden="false" customHeight="true" outlineLevel="0" collapsed="false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customFormat="false" ht="15.75" hidden="false" customHeight="true" outlineLevel="0" collapsed="false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customFormat="false" ht="15.75" hidden="false" customHeight="true" outlineLevel="0" collapsed="false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customFormat="false" ht="15.75" hidden="false" customHeight="true" outlineLevel="0" collapsed="false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customFormat="false" ht="15.75" hidden="false" customHeight="true" outlineLevel="0" collapsed="false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customFormat="false" ht="15.75" hidden="false" customHeight="true" outlineLevel="0" collapsed="false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customFormat="false" ht="15.75" hidden="false" customHeight="true" outlineLevel="0" collapsed="false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customFormat="false" ht="15.75" hidden="false" customHeight="true" outlineLevel="0" collapsed="false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customFormat="false" ht="15.75" hidden="false" customHeight="true" outlineLevel="0" collapsed="false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customFormat="false" ht="15.75" hidden="false" customHeight="true" outlineLevel="0" collapsed="false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customFormat="false" ht="15.75" hidden="false" customHeight="true" outlineLevel="0" collapsed="false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customFormat="false" ht="15.75" hidden="false" customHeight="true" outlineLevel="0" collapsed="false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customFormat="false" ht="15.75" hidden="false" customHeight="true" outlineLevel="0" collapsed="false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customFormat="false" ht="15.75" hidden="false" customHeight="true" outlineLevel="0" collapsed="false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customFormat="false" ht="15.75" hidden="false" customHeight="true" outlineLevel="0" collapsed="false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customFormat="false" ht="15.75" hidden="false" customHeight="true" outlineLevel="0" collapsed="false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customFormat="false" ht="15.75" hidden="false" customHeight="true" outlineLevel="0" collapsed="false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customFormat="false" ht="15.75" hidden="false" customHeight="true" outlineLevel="0" collapsed="false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customFormat="false" ht="15.75" hidden="false" customHeight="true" outlineLevel="0" collapsed="false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customFormat="false" ht="15.75" hidden="false" customHeight="true" outlineLevel="0" collapsed="false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customFormat="false" ht="15.75" hidden="false" customHeight="true" outlineLevel="0" collapsed="false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customFormat="false" ht="15.75" hidden="false" customHeight="true" outlineLevel="0" collapsed="false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customFormat="false" ht="15.75" hidden="false" customHeight="true" outlineLevel="0" collapsed="false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customFormat="false" ht="15.75" hidden="false" customHeight="true" outlineLevel="0" collapsed="false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customFormat="false" ht="15.75" hidden="false" customHeight="true" outlineLevel="0" collapsed="false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customFormat="false" ht="15.75" hidden="false" customHeight="true" outlineLevel="0" collapsed="false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customFormat="false" ht="15.75" hidden="false" customHeight="true" outlineLevel="0" collapsed="false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customFormat="false" ht="15.75" hidden="false" customHeight="true" outlineLevel="0" collapsed="false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customFormat="false" ht="15.75" hidden="false" customHeight="true" outlineLevel="0" collapsed="false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customFormat="false" ht="15.75" hidden="false" customHeight="true" outlineLevel="0" collapsed="false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customFormat="false" ht="15.75" hidden="false" customHeight="true" outlineLevel="0" collapsed="false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customFormat="false" ht="15.75" hidden="false" customHeight="true" outlineLevel="0" collapsed="false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customFormat="false" ht="15.75" hidden="false" customHeight="true" outlineLevel="0" collapsed="false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customFormat="false" ht="15.75" hidden="false" customHeight="true" outlineLevel="0" collapsed="false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customFormat="false" ht="15.75" hidden="false" customHeight="true" outlineLevel="0" collapsed="false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customFormat="false" ht="15.75" hidden="false" customHeight="true" outlineLevel="0" collapsed="false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customFormat="false" ht="15.75" hidden="false" customHeight="true" outlineLevel="0" collapsed="false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customFormat="false" ht="15.75" hidden="false" customHeight="true" outlineLevel="0" collapsed="false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customFormat="false" ht="15.75" hidden="false" customHeight="true" outlineLevel="0" collapsed="false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customFormat="false" ht="15.75" hidden="false" customHeight="true" outlineLevel="0" collapsed="false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customFormat="false" ht="15.75" hidden="false" customHeight="true" outlineLevel="0" collapsed="false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customFormat="false" ht="15.75" hidden="false" customHeight="true" outlineLevel="0" collapsed="false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customFormat="false" ht="15.75" hidden="false" customHeight="true" outlineLevel="0" collapsed="false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customFormat="false" ht="15.75" hidden="false" customHeight="true" outlineLevel="0" collapsed="false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customFormat="false" ht="15.75" hidden="false" customHeight="true" outlineLevel="0" collapsed="false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customFormat="false" ht="15.75" hidden="false" customHeight="true" outlineLevel="0" collapsed="false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customFormat="false" ht="15.75" hidden="false" customHeight="true" outlineLevel="0" collapsed="false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customFormat="false" ht="15.75" hidden="false" customHeight="true" outlineLevel="0" collapsed="false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customFormat="false" ht="15.75" hidden="false" customHeight="true" outlineLevel="0" collapsed="false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customFormat="false" ht="15.75" hidden="false" customHeight="true" outlineLevel="0" collapsed="false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customFormat="false" ht="15.75" hidden="false" customHeight="true" outlineLevel="0" collapsed="false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customFormat="false" ht="15.75" hidden="false" customHeight="true" outlineLevel="0" collapsed="false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customFormat="false" ht="15.75" hidden="false" customHeight="true" outlineLevel="0" collapsed="false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customFormat="false" ht="15.75" hidden="false" customHeight="true" outlineLevel="0" collapsed="false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customFormat="false" ht="15.75" hidden="false" customHeight="true" outlineLevel="0" collapsed="false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customFormat="false" ht="15.75" hidden="false" customHeight="true" outlineLevel="0" collapsed="false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customFormat="false" ht="15.75" hidden="false" customHeight="true" outlineLevel="0" collapsed="false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customFormat="false" ht="15.75" hidden="false" customHeight="true" outlineLevel="0" collapsed="false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customFormat="false" ht="15.75" hidden="false" customHeight="true" outlineLevel="0" collapsed="false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customFormat="false" ht="15.75" hidden="false" customHeight="true" outlineLevel="0" collapsed="false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customFormat="false" ht="15.75" hidden="false" customHeight="true" outlineLevel="0" collapsed="false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customFormat="false" ht="15.75" hidden="false" customHeight="true" outlineLevel="0" collapsed="false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customFormat="false" ht="15.75" hidden="false" customHeight="true" outlineLevel="0" collapsed="false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customFormat="false" ht="15.75" hidden="false" customHeight="true" outlineLevel="0" collapsed="false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customFormat="false" ht="15.75" hidden="false" customHeight="true" outlineLevel="0" collapsed="false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customFormat="false" ht="15.75" hidden="false" customHeight="true" outlineLevel="0" collapsed="false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customFormat="false" ht="15.75" hidden="false" customHeight="true" outlineLevel="0" collapsed="false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customFormat="false" ht="15.75" hidden="false" customHeight="true" outlineLevel="0" collapsed="false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customFormat="false" ht="15.75" hidden="false" customHeight="true" outlineLevel="0" collapsed="false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customFormat="false" ht="15.75" hidden="false" customHeight="true" outlineLevel="0" collapsed="false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customFormat="false" ht="15.75" hidden="false" customHeight="true" outlineLevel="0" collapsed="false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customFormat="false" ht="15.75" hidden="false" customHeight="true" outlineLevel="0" collapsed="false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customFormat="false" ht="15.75" hidden="false" customHeight="true" outlineLevel="0" collapsed="false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customFormat="false" ht="15.75" hidden="false" customHeight="true" outlineLevel="0" collapsed="false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customFormat="false" ht="15.75" hidden="false" customHeight="true" outlineLevel="0" collapsed="false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customFormat="false" ht="15.75" hidden="false" customHeight="true" outlineLevel="0" collapsed="false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customFormat="false" ht="15.75" hidden="false" customHeight="true" outlineLevel="0" collapsed="false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customFormat="false" ht="15.75" hidden="false" customHeight="true" outlineLevel="0" collapsed="false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customFormat="false" ht="15.75" hidden="false" customHeight="true" outlineLevel="0" collapsed="false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customFormat="false" ht="15.75" hidden="false" customHeight="true" outlineLevel="0" collapsed="false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customFormat="false" ht="15.75" hidden="false" customHeight="true" outlineLevel="0" collapsed="false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customFormat="false" ht="15.75" hidden="false" customHeight="true" outlineLevel="0" collapsed="false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customFormat="false" ht="15.75" hidden="false" customHeight="true" outlineLevel="0" collapsed="false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customFormat="false" ht="15.75" hidden="false" customHeight="true" outlineLevel="0" collapsed="false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customFormat="false" ht="15.75" hidden="false" customHeight="true" outlineLevel="0" collapsed="false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customFormat="false" ht="15.75" hidden="false" customHeight="true" outlineLevel="0" collapsed="false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customFormat="false" ht="15.75" hidden="false" customHeight="true" outlineLevel="0" collapsed="false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customFormat="false" ht="15.75" hidden="false" customHeight="true" outlineLevel="0" collapsed="false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customFormat="false" ht="15.75" hidden="false" customHeight="true" outlineLevel="0" collapsed="false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customFormat="false" ht="15.75" hidden="false" customHeight="true" outlineLevel="0" collapsed="false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customFormat="false" ht="15.75" hidden="false" customHeight="true" outlineLevel="0" collapsed="false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customFormat="false" ht="15.75" hidden="false" customHeight="true" outlineLevel="0" collapsed="false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customFormat="false" ht="15.75" hidden="false" customHeight="true" outlineLevel="0" collapsed="false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customFormat="false" ht="15.75" hidden="false" customHeight="true" outlineLevel="0" collapsed="false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customFormat="false" ht="15.75" hidden="false" customHeight="true" outlineLevel="0" collapsed="false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customFormat="false" ht="15.75" hidden="false" customHeight="true" outlineLevel="0" collapsed="false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customFormat="false" ht="15.75" hidden="false" customHeight="true" outlineLevel="0" collapsed="false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customFormat="false" ht="15.75" hidden="false" customHeight="true" outlineLevel="0" collapsed="false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customFormat="false" ht="15.75" hidden="false" customHeight="true" outlineLevel="0" collapsed="false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customFormat="false" ht="15.75" hidden="false" customHeight="true" outlineLevel="0" collapsed="false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customFormat="false" ht="15.75" hidden="false" customHeight="true" outlineLevel="0" collapsed="false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customFormat="false" ht="15.75" hidden="false" customHeight="true" outlineLevel="0" collapsed="false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customFormat="false" ht="15.75" hidden="false" customHeight="true" outlineLevel="0" collapsed="false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customFormat="false" ht="15.75" hidden="false" customHeight="true" outlineLevel="0" collapsed="false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customFormat="false" ht="15.75" hidden="false" customHeight="true" outlineLevel="0" collapsed="false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customFormat="false" ht="15.75" hidden="false" customHeight="true" outlineLevel="0" collapsed="false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customFormat="false" ht="15.75" hidden="false" customHeight="true" outlineLevel="0" collapsed="false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customFormat="false" ht="15.75" hidden="false" customHeight="true" outlineLevel="0" collapsed="false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customFormat="false" ht="15.75" hidden="false" customHeight="true" outlineLevel="0" collapsed="false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customFormat="false" ht="15.75" hidden="false" customHeight="true" outlineLevel="0" collapsed="false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customFormat="false" ht="15.75" hidden="false" customHeight="true" outlineLevel="0" collapsed="false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customFormat="false" ht="15.75" hidden="false" customHeight="true" outlineLevel="0" collapsed="false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customFormat="false" ht="15.75" hidden="false" customHeight="true" outlineLevel="0" collapsed="false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customFormat="false" ht="15.75" hidden="false" customHeight="true" outlineLevel="0" collapsed="false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customFormat="false" ht="15.75" hidden="false" customHeight="true" outlineLevel="0" collapsed="false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customFormat="false" ht="15.75" hidden="false" customHeight="true" outlineLevel="0" collapsed="false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customFormat="false" ht="15.75" hidden="false" customHeight="true" outlineLevel="0" collapsed="false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customFormat="false" ht="15.75" hidden="false" customHeight="true" outlineLevel="0" collapsed="false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customFormat="false" ht="15.75" hidden="false" customHeight="true" outlineLevel="0" collapsed="false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customFormat="false" ht="15.75" hidden="false" customHeight="true" outlineLevel="0" collapsed="false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customFormat="false" ht="15.75" hidden="false" customHeight="true" outlineLevel="0" collapsed="false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customFormat="false" ht="15.75" hidden="false" customHeight="true" outlineLevel="0" collapsed="false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customFormat="false" ht="15.75" hidden="false" customHeight="true" outlineLevel="0" collapsed="false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customFormat="false" ht="15.75" hidden="false" customHeight="true" outlineLevel="0" collapsed="false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customFormat="false" ht="15.75" hidden="false" customHeight="true" outlineLevel="0" collapsed="false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customFormat="false" ht="15.75" hidden="false" customHeight="true" outlineLevel="0" collapsed="false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customFormat="false" ht="15.75" hidden="false" customHeight="true" outlineLevel="0" collapsed="false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customFormat="false" ht="15.75" hidden="false" customHeight="true" outlineLevel="0" collapsed="false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customFormat="false" ht="15.75" hidden="false" customHeight="true" outlineLevel="0" collapsed="false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customFormat="false" ht="15.75" hidden="false" customHeight="true" outlineLevel="0" collapsed="false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customFormat="false" ht="15.75" hidden="false" customHeight="true" outlineLevel="0" collapsed="false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customFormat="false" ht="15.75" hidden="false" customHeight="true" outlineLevel="0" collapsed="false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customFormat="false" ht="15.75" hidden="false" customHeight="true" outlineLevel="0" collapsed="false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customFormat="false" ht="15.75" hidden="false" customHeight="true" outlineLevel="0" collapsed="false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customFormat="false" ht="15.75" hidden="false" customHeight="true" outlineLevel="0" collapsed="false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customFormat="false" ht="15.75" hidden="false" customHeight="true" outlineLevel="0" collapsed="false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customFormat="false" ht="15.75" hidden="false" customHeight="true" outlineLevel="0" collapsed="false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customFormat="false" ht="15.75" hidden="false" customHeight="true" outlineLevel="0" collapsed="false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customFormat="false" ht="15.75" hidden="false" customHeight="true" outlineLevel="0" collapsed="false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customFormat="false" ht="15.75" hidden="false" customHeight="true" outlineLevel="0" collapsed="false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customFormat="false" ht="15.75" hidden="false" customHeight="true" outlineLevel="0" collapsed="false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customFormat="false" ht="15.75" hidden="false" customHeight="true" outlineLevel="0" collapsed="false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customFormat="false" ht="15.75" hidden="false" customHeight="true" outlineLevel="0" collapsed="false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customFormat="false" ht="15.75" hidden="false" customHeight="true" outlineLevel="0" collapsed="false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customFormat="false" ht="15.75" hidden="false" customHeight="true" outlineLevel="0" collapsed="false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customFormat="false" ht="15.75" hidden="false" customHeight="true" outlineLevel="0" collapsed="false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customFormat="false" ht="15.75" hidden="false" customHeight="true" outlineLevel="0" collapsed="false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customFormat="false" ht="15.75" hidden="false" customHeight="true" outlineLevel="0" collapsed="false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customFormat="false" ht="15.75" hidden="false" customHeight="true" outlineLevel="0" collapsed="false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customFormat="false" ht="15.75" hidden="false" customHeight="true" outlineLevel="0" collapsed="false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customFormat="false" ht="15.75" hidden="false" customHeight="true" outlineLevel="0" collapsed="false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customFormat="false" ht="15.75" hidden="false" customHeight="true" outlineLevel="0" collapsed="false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customFormat="false" ht="15.75" hidden="false" customHeight="true" outlineLevel="0" collapsed="false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customFormat="false" ht="15.75" hidden="false" customHeight="true" outlineLevel="0" collapsed="false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customFormat="false" ht="15.75" hidden="false" customHeight="true" outlineLevel="0" collapsed="false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customFormat="false" ht="15.75" hidden="false" customHeight="true" outlineLevel="0" collapsed="false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customFormat="false" ht="15.75" hidden="false" customHeight="true" outlineLevel="0" collapsed="false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customFormat="false" ht="15.75" hidden="false" customHeight="true" outlineLevel="0" collapsed="false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customFormat="false" ht="15.75" hidden="false" customHeight="true" outlineLevel="0" collapsed="false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customFormat="false" ht="15.75" hidden="false" customHeight="true" outlineLevel="0" collapsed="false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customFormat="false" ht="15.75" hidden="false" customHeight="true" outlineLevel="0" collapsed="false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customFormat="false" ht="15.75" hidden="false" customHeight="true" outlineLevel="0" collapsed="false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customFormat="false" ht="15.75" hidden="false" customHeight="true" outlineLevel="0" collapsed="false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customFormat="false" ht="15.75" hidden="false" customHeight="true" outlineLevel="0" collapsed="false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customFormat="false" ht="15.75" hidden="false" customHeight="true" outlineLevel="0" collapsed="false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customFormat="false" ht="15.75" hidden="false" customHeight="true" outlineLevel="0" collapsed="false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customFormat="false" ht="15.75" hidden="false" customHeight="true" outlineLevel="0" collapsed="false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customFormat="false" ht="15.75" hidden="false" customHeight="true" outlineLevel="0" collapsed="false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customFormat="false" ht="15.75" hidden="false" customHeight="true" outlineLevel="0" collapsed="false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customFormat="false" ht="15.75" hidden="false" customHeight="true" outlineLevel="0" collapsed="false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customFormat="false" ht="15.75" hidden="false" customHeight="true" outlineLevel="0" collapsed="false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customFormat="false" ht="15.75" hidden="false" customHeight="true" outlineLevel="0" collapsed="false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customFormat="false" ht="15.75" hidden="false" customHeight="true" outlineLevel="0" collapsed="false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customFormat="false" ht="15.75" hidden="false" customHeight="true" outlineLevel="0" collapsed="false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customFormat="false" ht="15.75" hidden="false" customHeight="true" outlineLevel="0" collapsed="false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customFormat="false" ht="15.75" hidden="false" customHeight="true" outlineLevel="0" collapsed="false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customFormat="false" ht="15.75" hidden="false" customHeight="true" outlineLevel="0" collapsed="false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customFormat="false" ht="15.75" hidden="false" customHeight="true" outlineLevel="0" collapsed="false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customFormat="false" ht="15.75" hidden="false" customHeight="true" outlineLevel="0" collapsed="false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customFormat="false" ht="15.75" hidden="false" customHeight="true" outlineLevel="0" collapsed="false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customFormat="false" ht="15.75" hidden="false" customHeight="true" outlineLevel="0" collapsed="false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customFormat="false" ht="15.75" hidden="false" customHeight="true" outlineLevel="0" collapsed="false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customFormat="false" ht="15.75" hidden="false" customHeight="true" outlineLevel="0" collapsed="false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customFormat="false" ht="15.75" hidden="false" customHeight="true" outlineLevel="0" collapsed="false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customFormat="false" ht="15.75" hidden="false" customHeight="true" outlineLevel="0" collapsed="false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customFormat="false" ht="15.75" hidden="false" customHeight="true" outlineLevel="0" collapsed="false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customFormat="false" ht="15.75" hidden="false" customHeight="true" outlineLevel="0" collapsed="false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customFormat="false" ht="15.75" hidden="false" customHeight="true" outlineLevel="0" collapsed="false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customFormat="false" ht="15.75" hidden="false" customHeight="true" outlineLevel="0" collapsed="false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customFormat="false" ht="15.75" hidden="false" customHeight="true" outlineLevel="0" collapsed="false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customFormat="false" ht="15.75" hidden="false" customHeight="true" outlineLevel="0" collapsed="false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customFormat="false" ht="15.75" hidden="false" customHeight="true" outlineLevel="0" collapsed="false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customFormat="false" ht="15.75" hidden="false" customHeight="true" outlineLevel="0" collapsed="false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customFormat="false" ht="15.75" hidden="false" customHeight="true" outlineLevel="0" collapsed="false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customFormat="false" ht="15.75" hidden="false" customHeight="true" outlineLevel="0" collapsed="false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customFormat="false" ht="15.75" hidden="false" customHeight="true" outlineLevel="0" collapsed="false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customFormat="false" ht="15.75" hidden="false" customHeight="true" outlineLevel="0" collapsed="false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customFormat="false" ht="15.75" hidden="false" customHeight="true" outlineLevel="0" collapsed="false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customFormat="false" ht="15.75" hidden="false" customHeight="true" outlineLevel="0" collapsed="false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customFormat="false" ht="15.75" hidden="false" customHeight="true" outlineLevel="0" collapsed="false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customFormat="false" ht="15.75" hidden="false" customHeight="true" outlineLevel="0" collapsed="false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customFormat="false" ht="15.75" hidden="false" customHeight="true" outlineLevel="0" collapsed="false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 customFormat="false" ht="15.75" hidden="false" customHeight="true" outlineLevel="0" collapsed="false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  <row r="1002" customFormat="false" ht="15.75" hidden="false" customHeight="true" outlineLevel="0" collapsed="false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</row>
    <row r="1003" customFormat="false" ht="15.75" hidden="false" customHeight="true" outlineLevel="0" collapsed="false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</row>
    <row r="1004" customFormat="false" ht="15.75" hidden="false" customHeight="true" outlineLevel="0" collapsed="false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</row>
    <row r="1005" customFormat="false" ht="15.75" hidden="false" customHeight="true" outlineLevel="0" collapsed="false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</row>
    <row r="1006" customFormat="false" ht="15.75" hidden="false" customHeight="true" outlineLevel="0" collapsed="false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</row>
    <row r="1007" customFormat="false" ht="15.75" hidden="false" customHeight="true" outlineLevel="0" collapsed="false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</row>
    <row r="1008" customFormat="false" ht="15.75" hidden="false" customHeight="true" outlineLevel="0" collapsed="false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</row>
    <row r="1009" customFormat="false" ht="15.75" hidden="false" customHeight="true" outlineLevel="0" collapsed="false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</row>
    <row r="1010" customFormat="false" ht="15.75" hidden="false" customHeight="true" outlineLevel="0" collapsed="false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</row>
    <row r="1011" customFormat="false" ht="15.75" hidden="false" customHeight="true" outlineLevel="0" collapsed="false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</row>
    <row r="1012" customFormat="false" ht="15.75" hidden="false" customHeight="true" outlineLevel="0" collapsed="false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</row>
    <row r="1013" customFormat="false" ht="15.75" hidden="false" customHeight="true" outlineLevel="0" collapsed="false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</row>
    <row r="1014" customFormat="false" ht="15.75" hidden="false" customHeight="true" outlineLevel="0" collapsed="false">
      <c r="A1014" s="51"/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38"/>
    <col collapsed="false" customWidth="true" hidden="false" outlineLevel="0" max="2" min="2" style="1" width="38.38"/>
    <col collapsed="false" customWidth="true" hidden="false" outlineLevel="0" max="3" min="3" style="1" width="10"/>
    <col collapsed="false" customWidth="true" hidden="false" outlineLevel="0" max="4" min="4" style="1" width="11.63"/>
    <col collapsed="false" customWidth="true" hidden="false" outlineLevel="0" max="5" min="5" style="1" width="23.25"/>
    <col collapsed="false" customWidth="true" hidden="false" outlineLevel="0" max="6" min="6" style="1" width="16.5"/>
    <col collapsed="false" customWidth="true" hidden="false" outlineLevel="0" max="7" min="7" style="1" width="19"/>
    <col collapsed="false" customWidth="true" hidden="false" outlineLevel="0" max="8" min="8" style="1" width="20.51"/>
    <col collapsed="false" customWidth="true" hidden="false" outlineLevel="0" max="9" min="9" style="1" width="23"/>
    <col collapsed="false" customWidth="true" hidden="false" outlineLevel="0" max="10" min="10" style="1" width="7.38"/>
    <col collapsed="false" customWidth="true" hidden="false" outlineLevel="0" max="11" min="11" style="1" width="7.5"/>
    <col collapsed="false" customWidth="true" hidden="false" outlineLevel="0" max="12" min="12" style="1" width="6.38"/>
    <col collapsed="false" customWidth="true" hidden="false" outlineLevel="0" max="13" min="13" style="1" width="7"/>
    <col collapsed="false" customWidth="true" hidden="false" outlineLevel="0" max="14" min="14" style="1" width="8.38"/>
    <col collapsed="false" customWidth="true" hidden="true" outlineLevel="0" max="16" min="15" style="1" width="7.38"/>
    <col collapsed="false" customWidth="true" hidden="false" outlineLevel="0" max="17" min="17" style="1" width="6.88"/>
    <col collapsed="false" customWidth="true" hidden="false" outlineLevel="0" max="18" min="18" style="1" width="7.75"/>
    <col collapsed="false" customWidth="true" hidden="false" outlineLevel="0" max="20" min="19" style="1" width="5.63"/>
    <col collapsed="false" customWidth="true" hidden="false" outlineLevel="0" max="21" min="21" style="1" width="6.12"/>
    <col collapsed="false" customWidth="true" hidden="false" outlineLevel="0" max="22" min="22" style="1" width="6"/>
    <col collapsed="false" customWidth="true" hidden="false" outlineLevel="0" max="23" min="23" style="1" width="6.63"/>
    <col collapsed="false" customWidth="true" hidden="true" outlineLevel="0" max="24" min="24" style="1" width="6.25"/>
    <col collapsed="false" customWidth="true" hidden="true" outlineLevel="0" max="25" min="25" style="1" width="7.5"/>
    <col collapsed="false" customWidth="true" hidden="true" outlineLevel="0" max="26" min="26" style="1" width="8.13"/>
    <col collapsed="false" customWidth="true" hidden="true" outlineLevel="0" max="27" min="27" style="1" width="7.25"/>
    <col collapsed="false" customWidth="true" hidden="true" outlineLevel="0" max="28" min="28" style="1" width="5.88"/>
    <col collapsed="false" customWidth="true" hidden="true" outlineLevel="0" max="29" min="29" style="1" width="7.38"/>
    <col collapsed="false" customWidth="true" hidden="true" outlineLevel="0" max="30" min="30" style="1" width="7"/>
    <col collapsed="false" customWidth="true" hidden="true" outlineLevel="0" max="31" min="31" style="1" width="8.25"/>
    <col collapsed="false" customWidth="true" hidden="true" outlineLevel="0" max="32" min="32" style="1" width="7.11"/>
    <col collapsed="false" customWidth="true" hidden="true" outlineLevel="0" max="34" min="33" style="1" width="9.52"/>
    <col collapsed="false" customWidth="true" hidden="true" outlineLevel="0" max="35" min="35" style="1" width="8.25"/>
    <col collapsed="false" customWidth="true" hidden="true" outlineLevel="0" max="36" min="36" style="1" width="7.11"/>
    <col collapsed="false" customWidth="true" hidden="true" outlineLevel="0" max="37" min="37" style="1" width="9.52"/>
  </cols>
  <sheetData>
    <row r="1" customFormat="false" ht="15.75" hidden="false" customHeight="true" outlineLevel="0" collapsed="false">
      <c r="A1" s="76" t="s">
        <v>1491</v>
      </c>
      <c r="B1" s="76" t="s">
        <v>1492</v>
      </c>
      <c r="C1" s="76" t="s">
        <v>5</v>
      </c>
      <c r="D1" s="76" t="s">
        <v>1541</v>
      </c>
      <c r="E1" s="76" t="s">
        <v>1542</v>
      </c>
      <c r="F1" s="76" t="s">
        <v>1543</v>
      </c>
      <c r="G1" s="76" t="s">
        <v>1544</v>
      </c>
      <c r="H1" s="76" t="s">
        <v>1545</v>
      </c>
      <c r="I1" s="76" t="s">
        <v>1546</v>
      </c>
      <c r="J1" s="77"/>
      <c r="K1" s="78"/>
      <c r="L1" s="77"/>
      <c r="M1" s="77"/>
      <c r="N1" s="77"/>
      <c r="O1" s="78"/>
      <c r="P1" s="78"/>
      <c r="Q1" s="78"/>
      <c r="R1" s="78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customFormat="false" ht="24.75" hidden="false" customHeight="true" outlineLevel="0" collapsed="false">
      <c r="A2" s="51" t="s">
        <v>1547</v>
      </c>
      <c r="B2" s="79" t="str">
        <f aca="false">IFERROR(__xludf.dummyfunction("query(AllSpecies, ""select A, L, O, M*1000000000, Q*1000000, 0, R*1000000, 1"")"),"")</f>
        <v/>
      </c>
      <c r="C2" s="80" t="str">
        <f aca="false">IFERROR(__xludf.dummyfunction("""COMPUTED_VALUE"""),"")</f>
        <v/>
      </c>
      <c r="D2" s="77" t="str">
        <f aca="false">IFERROR(__xludf.dummyfunction("""COMPUTED_VALUE"""),"")</f>
        <v/>
      </c>
      <c r="E2" s="77" t="str">
        <f aca="false">IFERROR(__xludf.dummyfunction("""COMPUTED_VALUE"""),"product(1000000000())")</f>
        <v>product(1000000000())</v>
      </c>
      <c r="F2" s="77" t="str">
        <f aca="false">IFERROR(__xludf.dummyfunction("""COMPUTED_VALUE"""),"product(1000000())")</f>
        <v>product(1000000())</v>
      </c>
      <c r="G2" s="81" t="str">
        <f aca="false">IFERROR(__xludf.dummyfunction("""COMPUTED_VALUE"""),"0()")</f>
        <v>0()</v>
      </c>
      <c r="H2" s="81" t="str">
        <f aca="false">IFERROR(__xludf.dummyfunction("""COMPUTED_VALUE"""),"product(1000000())")</f>
        <v>product(1000000())</v>
      </c>
      <c r="I2" s="77" t="str">
        <f aca="false">IFERROR(__xludf.dummyfunction("""COMPUTED_VALUE"""),"1()")</f>
        <v>1()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</row>
    <row r="3" customFormat="false" ht="15.75" hidden="false" customHeight="true" outlineLevel="0" collapsed="false">
      <c r="A3" s="51" t="s">
        <v>1547</v>
      </c>
      <c r="B3" s="79" t="str">
        <f aca="false">IFERROR(__xludf.dummyfunction("""COMPUTED_VALUE"""),"Balsa")</f>
        <v>Balsa</v>
      </c>
      <c r="C3" s="80" t="n">
        <f aca="false">IFERROR(__xludf.dummyfunction("""COMPUTED_VALUE"""),150)</f>
        <v>150</v>
      </c>
      <c r="D3" s="82" t="n">
        <f aca="false">IFERROR(__xludf.dummyfunction("""COMPUTED_VALUE"""),0.229)</f>
        <v>0.229</v>
      </c>
      <c r="E3" s="77" t="n">
        <f aca="false">IFERROR(__xludf.dummyfunction("""COMPUTED_VALUE"""),3710000000)</f>
        <v>3710000000</v>
      </c>
      <c r="F3" s="77" t="n">
        <f aca="false">IFERROR(__xludf.dummyfunction("""COMPUTED_VALUE"""),19600000)</f>
        <v>19600000</v>
      </c>
      <c r="G3" s="81" t="n">
        <f aca="false">IFERROR(__xludf.dummyfunction("""COMPUTED_VALUE"""),0)</f>
        <v>0</v>
      </c>
      <c r="H3" s="81" t="n">
        <f aca="false">IFERROR(__xludf.dummyfunction("""COMPUTED_VALUE"""),11600000)</f>
        <v>11600000</v>
      </c>
      <c r="I3" s="77" t="n">
        <f aca="false">IFERROR(__xludf.dummyfunction("""COMPUTED_VALUE"""),1)</f>
        <v>1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customFormat="false" ht="15.75" hidden="false" customHeight="true" outlineLevel="0" collapsed="false">
      <c r="A4" s="51" t="s">
        <v>1547</v>
      </c>
      <c r="B4" s="79" t="str">
        <f aca="false">IFERROR(__xludf.dummyfunction("""COMPUTED_VALUE"""),"Paulownia")</f>
        <v>Paulownia</v>
      </c>
      <c r="C4" s="83" t="n">
        <f aca="false">IFERROR(__xludf.dummyfunction("""COMPUTED_VALUE"""),280)</f>
        <v>280</v>
      </c>
      <c r="D4" s="82" t="n">
        <f aca="false">IFERROR(__xludf.dummyfunction("""COMPUTED_VALUE"""),0.385571428571429)</f>
        <v>0.385571428571429</v>
      </c>
      <c r="E4" s="77" t="n">
        <f aca="false">IFERROR(__xludf.dummyfunction("""COMPUTED_VALUE"""),4380000000)</f>
        <v>4380000000</v>
      </c>
      <c r="F4" s="77" t="n">
        <f aca="false">IFERROR(__xludf.dummyfunction("""COMPUTED_VALUE"""),37800000)</f>
        <v>37800000</v>
      </c>
      <c r="G4" s="81" t="n">
        <f aca="false">IFERROR(__xludf.dummyfunction("""COMPUTED_VALUE"""),0)</f>
        <v>0</v>
      </c>
      <c r="H4" s="81" t="n">
        <f aca="false">IFERROR(__xludf.dummyfunction("""COMPUTED_VALUE"""),20700000)</f>
        <v>20700000</v>
      </c>
      <c r="I4" s="77" t="n">
        <f aca="false">IFERROR(__xludf.dummyfunction("""COMPUTED_VALUE"""),1)</f>
        <v>1</v>
      </c>
      <c r="J4" s="81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</row>
    <row r="5" customFormat="false" ht="15.75" hidden="false" customHeight="true" outlineLevel="0" collapsed="false">
      <c r="A5" s="51" t="s">
        <v>1547</v>
      </c>
      <c r="B5" s="79" t="str">
        <f aca="false">IFERROR(__xludf.dummyfunction("""COMPUTED_VALUE"""),"King Billy Pine Cedar (Gore)")</f>
        <v>King Billy Pine Cedar (Gore)</v>
      </c>
      <c r="C5" s="83" t="n">
        <f aca="false">IFERROR(__xludf.dummyfunction("""COMPUTED_VALUE"""),350)</f>
        <v>350</v>
      </c>
      <c r="D5" s="82" t="n">
        <f aca="false">IFERROR(__xludf.dummyfunction("""COMPUTED_VALUE"""),0.385571428571429)</f>
        <v>0.385571428571429</v>
      </c>
      <c r="E5" s="77" t="n">
        <f aca="false">IFERROR(__xludf.dummyfunction("""COMPUTED_VALUE"""),5800000000)</f>
        <v>5800000000</v>
      </c>
      <c r="F5" s="77" t="n">
        <f aca="false">IFERROR(__xludf.dummyfunction("""COMPUTED_VALUE"""),69000000)</f>
        <v>69000000</v>
      </c>
      <c r="G5" s="81" t="n">
        <f aca="false">IFERROR(__xludf.dummyfunction("""COMPUTED_VALUE"""),0)</f>
        <v>0</v>
      </c>
      <c r="H5" s="81"/>
      <c r="I5" s="77" t="n">
        <f aca="false">IFERROR(__xludf.dummyfunction("""COMPUTED_VALUE"""),1)</f>
        <v>1</v>
      </c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</row>
    <row r="6" customFormat="false" ht="15.75" hidden="false" customHeight="true" outlineLevel="0" collapsed="false">
      <c r="A6" s="51" t="s">
        <v>1547</v>
      </c>
      <c r="B6" s="79" t="str">
        <f aca="false">IFERROR(__xludf.dummyfunction("""COMPUTED_VALUE"""),"Northern White Cedar")</f>
        <v>Northern White Cedar</v>
      </c>
      <c r="C6" s="83" t="n">
        <f aca="false">IFERROR(__xludf.dummyfunction("""COMPUTED_VALUE"""),350)</f>
        <v>350</v>
      </c>
      <c r="D6" s="82" t="n">
        <f aca="false">IFERROR(__xludf.dummyfunction("""COMPUTED_VALUE"""),0.337)</f>
        <v>0.337</v>
      </c>
      <c r="E6" s="77" t="n">
        <f aca="false">IFERROR(__xludf.dummyfunction("""COMPUTED_VALUE"""),5520000000)</f>
        <v>5520000000</v>
      </c>
      <c r="F6" s="77" t="n">
        <f aca="false">IFERROR(__xludf.dummyfunction("""COMPUTED_VALUE"""),44800000)</f>
        <v>44800000</v>
      </c>
      <c r="G6" s="81" t="n">
        <f aca="false">IFERROR(__xludf.dummyfunction("""COMPUTED_VALUE"""),0)</f>
        <v>0</v>
      </c>
      <c r="H6" s="81" t="n">
        <f aca="false">IFERROR(__xludf.dummyfunction("""COMPUTED_VALUE"""),27300000)</f>
        <v>27300000</v>
      </c>
      <c r="I6" s="77" t="n">
        <f aca="false">IFERROR(__xludf.dummyfunction("""COMPUTED_VALUE"""),1)</f>
        <v>1</v>
      </c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</row>
    <row r="7" customFormat="false" ht="15.75" hidden="false" customHeight="true" outlineLevel="0" collapsed="false">
      <c r="A7" s="51" t="s">
        <v>1547</v>
      </c>
      <c r="B7" s="79" t="str">
        <f aca="false">IFERROR(__xludf.dummyfunction("""COMPUTED_VALUE"""),"Sugi (Japanese Cedar)")</f>
        <v>Sugi (Japanese Cedar)</v>
      </c>
      <c r="C7" s="80" t="n">
        <f aca="false">IFERROR(__xludf.dummyfunction("""COMPUTED_VALUE"""),360)</f>
        <v>360</v>
      </c>
      <c r="D7" s="82" t="n">
        <f aca="false">IFERROR(__xludf.dummyfunction("""COMPUTED_VALUE"""),0.385571428571429)</f>
        <v>0.385571428571429</v>
      </c>
      <c r="E7" s="77" t="n">
        <f aca="false">IFERROR(__xludf.dummyfunction("""COMPUTED_VALUE"""),7650000000)</f>
        <v>7650000000</v>
      </c>
      <c r="F7" s="77" t="n">
        <f aca="false">IFERROR(__xludf.dummyfunction("""COMPUTED_VALUE"""),36400000)</f>
        <v>36400000</v>
      </c>
      <c r="G7" s="81" t="n">
        <f aca="false">IFERROR(__xludf.dummyfunction("""COMPUTED_VALUE"""),0)</f>
        <v>0</v>
      </c>
      <c r="H7" s="81" t="n">
        <f aca="false">IFERROR(__xludf.dummyfunction("""COMPUTED_VALUE"""),28000000)</f>
        <v>28000000</v>
      </c>
      <c r="I7" s="77" t="n">
        <f aca="false">IFERROR(__xludf.dummyfunction("""COMPUTED_VALUE"""),1)</f>
        <v>1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</row>
    <row r="8" customFormat="false" ht="15.75" hidden="false" customHeight="true" outlineLevel="0" collapsed="false">
      <c r="A8" s="51" t="s">
        <v>1547</v>
      </c>
      <c r="B8" s="79" t="str">
        <f aca="false">IFERROR(__xludf.dummyfunction("""COMPUTED_VALUE"""),"Batai (Falcata)")</f>
        <v>Batai (Falcata)</v>
      </c>
      <c r="C8" s="80" t="n">
        <f aca="false">IFERROR(__xludf.dummyfunction("""COMPUTED_VALUE"""),360)</f>
        <v>360</v>
      </c>
      <c r="D8" s="82" t="n">
        <f aca="false">IFERROR(__xludf.dummyfunction("""COMPUTED_VALUE"""),0.385571428571429)</f>
        <v>0.385571428571429</v>
      </c>
      <c r="E8" s="77" t="n">
        <f aca="false">IFERROR(__xludf.dummyfunction("""COMPUTED_VALUE"""),8530000000)</f>
        <v>8530000000</v>
      </c>
      <c r="F8" s="77" t="n">
        <f aca="false">IFERROR(__xludf.dummyfunction("""COMPUTED_VALUE"""),57700000)</f>
        <v>57700000</v>
      </c>
      <c r="G8" s="81" t="n">
        <f aca="false">IFERROR(__xludf.dummyfunction("""COMPUTED_VALUE"""),0)</f>
        <v>0</v>
      </c>
      <c r="H8" s="81" t="n">
        <f aca="false">IFERROR(__xludf.dummyfunction("""COMPUTED_VALUE"""),29500000)</f>
        <v>29500000</v>
      </c>
      <c r="I8" s="77" t="n">
        <f aca="false">IFERROR(__xludf.dummyfunction("""COMPUTED_VALUE"""),1)</f>
        <v>1</v>
      </c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</row>
    <row r="9" customFormat="false" ht="15.75" hidden="false" customHeight="true" outlineLevel="0" collapsed="false">
      <c r="A9" s="51" t="s">
        <v>1547</v>
      </c>
      <c r="B9" s="79" t="str">
        <f aca="false">IFERROR(__xludf.dummyfunction("""COMPUTED_VALUE"""),"Balsam Poplar")</f>
        <v>Balsam Poplar</v>
      </c>
      <c r="C9" s="83" t="n">
        <f aca="false">IFERROR(__xludf.dummyfunction("""COMPUTED_VALUE"""),370)</f>
        <v>370</v>
      </c>
      <c r="D9" s="82" t="n">
        <f aca="false">IFERROR(__xludf.dummyfunction("""COMPUTED_VALUE"""),0.385571428571429)</f>
        <v>0.385571428571429</v>
      </c>
      <c r="E9" s="77" t="n">
        <f aca="false">IFERROR(__xludf.dummyfunction("""COMPUTED_VALUE"""),7590000000)</f>
        <v>7590000000</v>
      </c>
      <c r="F9" s="77" t="n">
        <f aca="false">IFERROR(__xludf.dummyfunction("""COMPUTED_VALUE"""),46900000)</f>
        <v>46900000</v>
      </c>
      <c r="G9" s="81" t="n">
        <f aca="false">IFERROR(__xludf.dummyfunction("""COMPUTED_VALUE"""),0)</f>
        <v>0</v>
      </c>
      <c r="H9" s="81" t="n">
        <f aca="false">IFERROR(__xludf.dummyfunction("""COMPUTED_VALUE"""),27700000)</f>
        <v>27700000</v>
      </c>
      <c r="I9" s="77" t="n">
        <f aca="false">IFERROR(__xludf.dummyfunction("""COMPUTED_VALUE"""),1)</f>
        <v>1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</row>
    <row r="10" customFormat="false" ht="15.75" hidden="false" customHeight="true" outlineLevel="0" collapsed="false">
      <c r="A10" s="51" t="s">
        <v>1547</v>
      </c>
      <c r="B10" s="79" t="str">
        <f aca="false">IFERROR(__xludf.dummyfunction("""COMPUTED_VALUE"""),"Western Red Cedar")</f>
        <v>Western Red Cedar</v>
      </c>
      <c r="C10" s="83" t="n">
        <f aca="false">IFERROR(__xludf.dummyfunction("""COMPUTED_VALUE"""),370)</f>
        <v>370</v>
      </c>
      <c r="D10" s="82" t="n">
        <f aca="false">IFERROR(__xludf.dummyfunction("""COMPUTED_VALUE"""),0.378)</f>
        <v>0.378</v>
      </c>
      <c r="E10" s="77" t="n">
        <f aca="false">IFERROR(__xludf.dummyfunction("""COMPUTED_VALUE"""),7660000000)</f>
        <v>7660000000</v>
      </c>
      <c r="F10" s="77" t="n">
        <f aca="false">IFERROR(__xludf.dummyfunction("""COMPUTED_VALUE"""),51700000)</f>
        <v>51700000</v>
      </c>
      <c r="G10" s="81" t="n">
        <f aca="false">IFERROR(__xludf.dummyfunction("""COMPUTED_VALUE"""),0)</f>
        <v>0</v>
      </c>
      <c r="H10" s="81" t="n">
        <f aca="false">IFERROR(__xludf.dummyfunction("""COMPUTED_VALUE"""),31400000)</f>
        <v>31400000</v>
      </c>
      <c r="I10" s="77" t="n">
        <f aca="false">IFERROR(__xludf.dummyfunction("""COMPUTED_VALUE"""),1)</f>
        <v>1</v>
      </c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</row>
    <row r="11" customFormat="false" ht="15.75" hidden="false" customHeight="true" outlineLevel="0" collapsed="false">
      <c r="A11" s="51" t="s">
        <v>1547</v>
      </c>
      <c r="B11" s="79" t="str">
        <f aca="false">IFERROR(__xludf.dummyfunction("""COMPUTED_VALUE"""),"Giant sequoia")</f>
        <v>Giant sequoia</v>
      </c>
      <c r="C11" s="80" t="n">
        <f aca="false">IFERROR(__xludf.dummyfunction("""COMPUTED_VALUE"""),380)</f>
        <v>380</v>
      </c>
      <c r="D11" s="82" t="n">
        <f aca="false">IFERROR(__xludf.dummyfunction("""COMPUTED_VALUE"""),0.36)</f>
        <v>0.36</v>
      </c>
      <c r="E11" s="77" t="n">
        <f aca="false">IFERROR(__xludf.dummyfunction("""COMPUTED_VALUE"""),8900000000)</f>
        <v>8900000000</v>
      </c>
      <c r="F11" s="77" t="n">
        <f aca="false">IFERROR(__xludf.dummyfunction("""COMPUTED_VALUE"""),64400000)</f>
        <v>64400000</v>
      </c>
      <c r="G11" s="81" t="n">
        <f aca="false">IFERROR(__xludf.dummyfunction("""COMPUTED_VALUE"""),0)</f>
        <v>0</v>
      </c>
      <c r="H11" s="81" t="n">
        <f aca="false">IFERROR(__xludf.dummyfunction("""COMPUTED_VALUE"""),37300000)</f>
        <v>37300000</v>
      </c>
      <c r="I11" s="77" t="n">
        <f aca="false">IFERROR(__xludf.dummyfunction("""COMPUTED_VALUE"""),1)</f>
        <v>1</v>
      </c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</row>
    <row r="12" customFormat="false" ht="15.75" hidden="false" customHeight="true" outlineLevel="0" collapsed="false">
      <c r="A12" s="51" t="s">
        <v>1547</v>
      </c>
      <c r="B12" s="79" t="str">
        <f aca="false">IFERROR(__xludf.dummyfunction("""COMPUTED_VALUE"""),"Atlantic White Cedar")</f>
        <v>Atlantic White Cedar</v>
      </c>
      <c r="C12" s="80" t="n">
        <f aca="false">IFERROR(__xludf.dummyfunction("""COMPUTED_VALUE"""),380)</f>
        <v>380</v>
      </c>
      <c r="D12" s="82" t="n">
        <f aca="false">IFERROR(__xludf.dummyfunction("""COMPUTED_VALUE"""),0.385571428571429)</f>
        <v>0.385571428571429</v>
      </c>
      <c r="E12" s="77" t="n">
        <f aca="false">IFERROR(__xludf.dummyfunction("""COMPUTED_VALUE"""),6410000000)</f>
        <v>6410000000</v>
      </c>
      <c r="F12" s="77" t="n">
        <f aca="false">IFERROR(__xludf.dummyfunction("""COMPUTED_VALUE"""),46900000)</f>
        <v>46900000</v>
      </c>
      <c r="G12" s="81" t="n">
        <f aca="false">IFERROR(__xludf.dummyfunction("""COMPUTED_VALUE"""),0)</f>
        <v>0</v>
      </c>
      <c r="H12" s="81" t="n">
        <f aca="false">IFERROR(__xludf.dummyfunction("""COMPUTED_VALUE"""),32400000)</f>
        <v>32400000</v>
      </c>
      <c r="I12" s="77" t="n">
        <f aca="false">IFERROR(__xludf.dummyfunction("""COMPUTED_VALUE"""),1)</f>
        <v>1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</row>
    <row r="13" customFormat="false" ht="15.75" hidden="false" customHeight="true" outlineLevel="0" collapsed="false">
      <c r="A13" s="51" t="s">
        <v>1547</v>
      </c>
      <c r="B13" s="79" t="str">
        <f aca="false">IFERROR(__xludf.dummyfunction("""COMPUTED_VALUE"""),"Cheesewood")</f>
        <v>Cheesewood</v>
      </c>
      <c r="C13" s="83" t="n">
        <f aca="false">IFERROR(__xludf.dummyfunction("""COMPUTED_VALUE"""),380)</f>
        <v>380</v>
      </c>
      <c r="D13" s="82" t="n">
        <f aca="false">IFERROR(__xludf.dummyfunction("""COMPUTED_VALUE"""),0.385571428571429)</f>
        <v>0.385571428571429</v>
      </c>
      <c r="E13" s="77" t="n">
        <f aca="false">IFERROR(__xludf.dummyfunction("""COMPUTED_VALUE"""),7520000000)</f>
        <v>7520000000</v>
      </c>
      <c r="F13" s="77" t="n">
        <f aca="false">IFERROR(__xludf.dummyfunction("""COMPUTED_VALUE"""),54000000)</f>
        <v>54000000</v>
      </c>
      <c r="G13" s="81" t="n">
        <f aca="false">IFERROR(__xludf.dummyfunction("""COMPUTED_VALUE"""),0)</f>
        <v>0</v>
      </c>
      <c r="H13" s="81" t="n">
        <f aca="false">IFERROR(__xludf.dummyfunction("""COMPUTED_VALUE"""),30300000)</f>
        <v>30300000</v>
      </c>
      <c r="I13" s="77" t="n">
        <f aca="false">IFERROR(__xludf.dummyfunction("""COMPUTED_VALUE"""),1)</f>
        <v>1</v>
      </c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</row>
    <row r="14" customFormat="false" ht="15.75" hidden="false" customHeight="true" outlineLevel="0" collapsed="false">
      <c r="A14" s="51" t="s">
        <v>1547</v>
      </c>
      <c r="B14" s="79" t="str">
        <f aca="false">IFERROR(__xludf.dummyfunction("""COMPUTED_VALUE"""),"Obeche")</f>
        <v>Obeche</v>
      </c>
      <c r="C14" s="80" t="n">
        <f aca="false">IFERROR(__xludf.dummyfunction("""COMPUTED_VALUE"""),380)</f>
        <v>380</v>
      </c>
      <c r="D14" s="82" t="n">
        <f aca="false">IFERROR(__xludf.dummyfunction("""COMPUTED_VALUE"""),0.385571428571429)</f>
        <v>0.385571428571429</v>
      </c>
      <c r="E14" s="77" t="n">
        <f aca="false">IFERROR(__xludf.dummyfunction("""COMPUTED_VALUE"""),6440000000)</f>
        <v>6440000000</v>
      </c>
      <c r="F14" s="77" t="n">
        <f aca="false">IFERROR(__xludf.dummyfunction("""COMPUTED_VALUE"""),59800000)</f>
        <v>59800000</v>
      </c>
      <c r="G14" s="81" t="n">
        <f aca="false">IFERROR(__xludf.dummyfunction("""COMPUTED_VALUE"""),0)</f>
        <v>0</v>
      </c>
      <c r="H14" s="81" t="n">
        <f aca="false">IFERROR(__xludf.dummyfunction("""COMPUTED_VALUE"""),29700000)</f>
        <v>29700000</v>
      </c>
      <c r="I14" s="77" t="n">
        <f aca="false">IFERROR(__xludf.dummyfunction("""COMPUTED_VALUE"""),1)</f>
        <v>1</v>
      </c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</row>
    <row r="15" customFormat="false" ht="15.75" hidden="false" customHeight="true" outlineLevel="0" collapsed="false">
      <c r="A15" s="51" t="s">
        <v>1547</v>
      </c>
      <c r="B15" s="79" t="str">
        <f aca="false">IFERROR(__xludf.dummyfunction("""COMPUTED_VALUE"""),"Engelmann Spruce")</f>
        <v>Engelmann Spruce</v>
      </c>
      <c r="C15" s="83" t="n">
        <f aca="false">IFERROR(__xludf.dummyfunction("""COMPUTED_VALUE"""),385)</f>
        <v>385</v>
      </c>
      <c r="D15" s="82" t="n">
        <f aca="false">IFERROR(__xludf.dummyfunction("""COMPUTED_VALUE"""),0.422)</f>
        <v>0.422</v>
      </c>
      <c r="E15" s="77" t="n">
        <f aca="false">IFERROR(__xludf.dummyfunction("""COMPUTED_VALUE"""),9440000000)</f>
        <v>9440000000</v>
      </c>
      <c r="F15" s="77" t="n">
        <f aca="false">IFERROR(__xludf.dummyfunction("""COMPUTED_VALUE"""),62200000)</f>
        <v>62200000</v>
      </c>
      <c r="G15" s="81" t="n">
        <f aca="false">IFERROR(__xludf.dummyfunction("""COMPUTED_VALUE"""),0)</f>
        <v>0</v>
      </c>
      <c r="H15" s="81" t="n">
        <f aca="false">IFERROR(__xludf.dummyfunction("""COMPUTED_VALUE"""),31500000)</f>
        <v>31500000</v>
      </c>
      <c r="I15" s="77" t="n">
        <f aca="false">IFERROR(__xludf.dummyfunction("""COMPUTED_VALUE"""),1)</f>
        <v>1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</row>
    <row r="16" customFormat="false" ht="15.75" hidden="false" customHeight="true" outlineLevel="0" collapsed="false">
      <c r="A16" s="51" t="s">
        <v>1547</v>
      </c>
      <c r="B16" s="79" t="str">
        <f aca="false">IFERROR(__xludf.dummyfunction("""COMPUTED_VALUE"""),"Black Cottonwood")</f>
        <v>Black Cottonwood</v>
      </c>
      <c r="C16" s="80" t="n">
        <f aca="false">IFERROR(__xludf.dummyfunction("""COMPUTED_VALUE"""),385)</f>
        <v>385</v>
      </c>
      <c r="D16" s="82" t="n">
        <f aca="false">IFERROR(__xludf.dummyfunction("""COMPUTED_VALUE"""),0.385571428571429)</f>
        <v>0.385571428571429</v>
      </c>
      <c r="E16" s="77" t="n">
        <f aca="false">IFERROR(__xludf.dummyfunction("""COMPUTED_VALUE"""),8760000000)</f>
        <v>8760000000</v>
      </c>
      <c r="F16" s="77" t="n">
        <f aca="false">IFERROR(__xludf.dummyfunction("""COMPUTED_VALUE"""),58600000)</f>
        <v>58600000</v>
      </c>
      <c r="G16" s="81" t="n">
        <f aca="false">IFERROR(__xludf.dummyfunction("""COMPUTED_VALUE"""),0)</f>
        <v>0</v>
      </c>
      <c r="H16" s="81" t="n">
        <f aca="false">IFERROR(__xludf.dummyfunction("""COMPUTED_VALUE"""),31000000)</f>
        <v>31000000</v>
      </c>
      <c r="I16" s="77" t="n">
        <f aca="false">IFERROR(__xludf.dummyfunction("""COMPUTED_VALUE"""),1)</f>
        <v>1</v>
      </c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</row>
    <row r="17" customFormat="false" ht="15.75" hidden="false" customHeight="true" outlineLevel="0" collapsed="false">
      <c r="A17" s="51" t="s">
        <v>1547</v>
      </c>
      <c r="B17" s="79" t="str">
        <f aca="false">IFERROR(__xludf.dummyfunction("""COMPUTED_VALUE"""),"Incense Cedar")</f>
        <v>Incense Cedar</v>
      </c>
      <c r="C17" s="80" t="n">
        <f aca="false">IFERROR(__xludf.dummyfunction("""COMPUTED_VALUE"""),385)</f>
        <v>385</v>
      </c>
      <c r="D17" s="82" t="n">
        <f aca="false">IFERROR(__xludf.dummyfunction("""COMPUTED_VALUE"""),0.385571428571429)</f>
        <v>0.385571428571429</v>
      </c>
      <c r="E17" s="77" t="n">
        <f aca="false">IFERROR(__xludf.dummyfunction("""COMPUTED_VALUE"""),7170000000)</f>
        <v>7170000000</v>
      </c>
      <c r="F17" s="77" t="n">
        <f aca="false">IFERROR(__xludf.dummyfunction("""COMPUTED_VALUE"""),55200000)</f>
        <v>55200000</v>
      </c>
      <c r="G17" s="81" t="n">
        <f aca="false">IFERROR(__xludf.dummyfunction("""COMPUTED_VALUE"""),0)</f>
        <v>0</v>
      </c>
      <c r="H17" s="81" t="n">
        <f aca="false">IFERROR(__xludf.dummyfunction("""COMPUTED_VALUE"""),35900000)</f>
        <v>35900000</v>
      </c>
      <c r="I17" s="77" t="n">
        <f aca="false">IFERROR(__xludf.dummyfunction("""COMPUTED_VALUE"""),1)</f>
        <v>1</v>
      </c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</row>
    <row r="18" customFormat="false" ht="15.75" hidden="false" customHeight="true" outlineLevel="0" collapsed="false">
      <c r="A18" s="51" t="s">
        <v>1547</v>
      </c>
      <c r="B18" s="79" t="str">
        <f aca="false">IFERROR(__xludf.dummyfunction("""COMPUTED_VALUE"""),"Andean alder")</f>
        <v>Andean alder</v>
      </c>
      <c r="C18" s="80" t="n">
        <f aca="false">IFERROR(__xludf.dummyfunction("""COMPUTED_VALUE"""),385)</f>
        <v>385</v>
      </c>
      <c r="D18" s="82" t="n">
        <f aca="false">IFERROR(__xludf.dummyfunction("""COMPUTED_VALUE"""),0.385571428571429)</f>
        <v>0.385571428571429</v>
      </c>
      <c r="E18" s="77" t="n">
        <f aca="false">IFERROR(__xludf.dummyfunction("""COMPUTED_VALUE"""),7810000000)</f>
        <v>7810000000</v>
      </c>
      <c r="F18" s="77" t="n">
        <f aca="false">IFERROR(__xludf.dummyfunction("""COMPUTED_VALUE"""),51200000)</f>
        <v>51200000</v>
      </c>
      <c r="G18" s="81" t="n">
        <f aca="false">IFERROR(__xludf.dummyfunction("""COMPUTED_VALUE"""),0)</f>
        <v>0</v>
      </c>
      <c r="H18" s="81" t="n">
        <f aca="false">IFERROR(__xludf.dummyfunction("""COMPUTED_VALUE"""),29000000)</f>
        <v>29000000</v>
      </c>
      <c r="I18" s="77" t="n">
        <f aca="false">IFERROR(__xludf.dummyfunction("""COMPUTED_VALUE"""),1)</f>
        <v>1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</row>
    <row r="19" customFormat="false" ht="15.75" hidden="false" customHeight="true" outlineLevel="0" collapsed="false">
      <c r="A19" s="51" t="s">
        <v>1547</v>
      </c>
      <c r="B19" s="79" t="str">
        <f aca="false">IFERROR(__xludf.dummyfunction("""COMPUTED_VALUE"""),"Black Poplar")</f>
        <v>Black Poplar</v>
      </c>
      <c r="C19" s="80" t="n">
        <f aca="false">IFERROR(__xludf.dummyfunction("""COMPUTED_VALUE"""),385)</f>
        <v>385</v>
      </c>
      <c r="D19" s="82" t="n">
        <f aca="false">IFERROR(__xludf.dummyfunction("""COMPUTED_VALUE"""),0.385571428571429)</f>
        <v>0.385571428571429</v>
      </c>
      <c r="E19" s="77" t="n">
        <f aca="false">IFERROR(__xludf.dummyfunction("""COMPUTED_VALUE"""),7210000000)</f>
        <v>7210000000</v>
      </c>
      <c r="F19" s="77" t="n">
        <f aca="false">IFERROR(__xludf.dummyfunction("""COMPUTED_VALUE"""),63700000)</f>
        <v>63700000</v>
      </c>
      <c r="G19" s="81" t="n">
        <f aca="false">IFERROR(__xludf.dummyfunction("""COMPUTED_VALUE"""),0)</f>
        <v>0</v>
      </c>
      <c r="H19" s="81" t="n">
        <f aca="false">IFERROR(__xludf.dummyfunction("""COMPUTED_VALUE"""),36000000)</f>
        <v>36000000</v>
      </c>
      <c r="I19" s="77" t="n">
        <f aca="false">IFERROR(__xludf.dummyfunction("""COMPUTED_VALUE"""),1)</f>
        <v>1</v>
      </c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</row>
    <row r="20" customFormat="false" ht="15.75" hidden="false" customHeight="true" outlineLevel="0" collapsed="false">
      <c r="A20" s="51" t="s">
        <v>1547</v>
      </c>
      <c r="B20" s="79" t="str">
        <f aca="false">IFERROR(__xludf.dummyfunction("""COMPUTED_VALUE"""),"Candlenut")</f>
        <v>Candlenut</v>
      </c>
      <c r="C20" s="83" t="n">
        <f aca="false">IFERROR(__xludf.dummyfunction("""COMPUTED_VALUE"""),390)</f>
        <v>390</v>
      </c>
      <c r="D20" s="82" t="n">
        <f aca="false">IFERROR(__xludf.dummyfunction("""COMPUTED_VALUE"""),0.385571428571429)</f>
        <v>0.385571428571429</v>
      </c>
      <c r="E20" s="77" t="n">
        <f aca="false">IFERROR(__xludf.dummyfunction("""COMPUTED_VALUE"""),7330000000)</f>
        <v>7330000000</v>
      </c>
      <c r="F20" s="77" t="n">
        <f aca="false">IFERROR(__xludf.dummyfunction("""COMPUTED_VALUE"""),50900000)</f>
        <v>50900000</v>
      </c>
      <c r="G20" s="81" t="n">
        <f aca="false">IFERROR(__xludf.dummyfunction("""COMPUTED_VALUE"""),0)</f>
        <v>0</v>
      </c>
      <c r="H20" s="81" t="n">
        <f aca="false">IFERROR(__xludf.dummyfunction("""COMPUTED_VALUE"""),26300000)</f>
        <v>26300000</v>
      </c>
      <c r="I20" s="77" t="n">
        <f aca="false">IFERROR(__xludf.dummyfunction("""COMPUTED_VALUE"""),1)</f>
        <v>1</v>
      </c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</row>
    <row r="21" customFormat="false" ht="15.75" hidden="false" customHeight="true" outlineLevel="0" collapsed="false">
      <c r="A21" s="51" t="s">
        <v>1547</v>
      </c>
      <c r="B21" s="79" t="str">
        <f aca="false">IFERROR(__xludf.dummyfunction("""COMPUTED_VALUE"""),"Yellow Buckeye")</f>
        <v>Yellow Buckeye</v>
      </c>
      <c r="C21" s="80" t="n">
        <f aca="false">IFERROR(__xludf.dummyfunction("""COMPUTED_VALUE"""),400)</f>
        <v>400</v>
      </c>
      <c r="D21" s="82" t="n">
        <f aca="false">IFERROR(__xludf.dummyfunction("""COMPUTED_VALUE"""),0.385571428571429)</f>
        <v>0.385571428571429</v>
      </c>
      <c r="E21" s="77" t="n">
        <f aca="false">IFERROR(__xludf.dummyfunction("""COMPUTED_VALUE"""),8070000000)</f>
        <v>8070000000</v>
      </c>
      <c r="F21" s="77" t="n">
        <f aca="false">IFERROR(__xludf.dummyfunction("""COMPUTED_VALUE"""),51700000)</f>
        <v>51700000</v>
      </c>
      <c r="G21" s="81" t="n">
        <f aca="false">IFERROR(__xludf.dummyfunction("""COMPUTED_VALUE"""),0)</f>
        <v>0</v>
      </c>
      <c r="H21" s="81" t="n">
        <f aca="false">IFERROR(__xludf.dummyfunction("""COMPUTED_VALUE"""),28800000)</f>
        <v>28800000</v>
      </c>
      <c r="I21" s="77" t="n">
        <f aca="false">IFERROR(__xludf.dummyfunction("""COMPUTED_VALUE"""),1)</f>
        <v>1</v>
      </c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</row>
    <row r="22" customFormat="false" ht="15.75" hidden="false" customHeight="true" outlineLevel="0" collapsed="false">
      <c r="A22" s="51" t="s">
        <v>1547</v>
      </c>
      <c r="B22" s="79" t="str">
        <f aca="false">IFERROR(__xludf.dummyfunction("""COMPUTED_VALUE"""),"Balsam Fir")</f>
        <v>Balsam Fir</v>
      </c>
      <c r="C22" s="83" t="n">
        <f aca="false">IFERROR(__xludf.dummyfunction("""COMPUTED_VALUE"""),400)</f>
        <v>400</v>
      </c>
      <c r="D22" s="82" t="n">
        <f aca="false">IFERROR(__xludf.dummyfunction("""COMPUTED_VALUE"""),0.385571428571429)</f>
        <v>0.385571428571429</v>
      </c>
      <c r="E22" s="77" t="n">
        <f aca="false">IFERROR(__xludf.dummyfunction("""COMPUTED_VALUE"""),9570000000)</f>
        <v>9570000000</v>
      </c>
      <c r="F22" s="77" t="n">
        <f aca="false">IFERROR(__xludf.dummyfunction("""COMPUTED_VALUE"""),60700000)</f>
        <v>60700000</v>
      </c>
      <c r="G22" s="81" t="n">
        <f aca="false">IFERROR(__xludf.dummyfunction("""COMPUTED_VALUE"""),0)</f>
        <v>0</v>
      </c>
      <c r="H22" s="81" t="n">
        <f aca="false">IFERROR(__xludf.dummyfunction("""COMPUTED_VALUE"""),34500000)</f>
        <v>34500000</v>
      </c>
      <c r="I22" s="77" t="n">
        <f aca="false">IFERROR(__xludf.dummyfunction("""COMPUTED_VALUE"""),1)</f>
        <v>1</v>
      </c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</row>
    <row r="23" customFormat="false" ht="15.75" hidden="false" customHeight="true" outlineLevel="0" collapsed="false">
      <c r="A23" s="51" t="s">
        <v>1547</v>
      </c>
      <c r="B23" s="79" t="str">
        <f aca="false">IFERROR(__xludf.dummyfunction("""COMPUTED_VALUE"""),"White Willow")</f>
        <v>White Willow</v>
      </c>
      <c r="C23" s="83" t="n">
        <f aca="false">IFERROR(__xludf.dummyfunction("""COMPUTED_VALUE"""),400)</f>
        <v>400</v>
      </c>
      <c r="D23" s="82" t="n">
        <f aca="false">IFERROR(__xludf.dummyfunction("""COMPUTED_VALUE"""),0.385571428571429)</f>
        <v>0.385571428571429</v>
      </c>
      <c r="E23" s="77" t="n">
        <f aca="false">IFERROR(__xludf.dummyfunction("""COMPUTED_VALUE"""),7760000000)</f>
        <v>7760000000</v>
      </c>
      <c r="F23" s="77" t="n">
        <f aca="false">IFERROR(__xludf.dummyfunction("""COMPUTED_VALUE"""),56200000)</f>
        <v>56200000</v>
      </c>
      <c r="G23" s="81" t="n">
        <f aca="false">IFERROR(__xludf.dummyfunction("""COMPUTED_VALUE"""),0)</f>
        <v>0</v>
      </c>
      <c r="H23" s="81" t="n">
        <f aca="false">IFERROR(__xludf.dummyfunction("""COMPUTED_VALUE"""),26900000)</f>
        <v>26900000</v>
      </c>
      <c r="I23" s="77" t="n">
        <f aca="false">IFERROR(__xludf.dummyfunction("""COMPUTED_VALUE"""),1)</f>
        <v>1</v>
      </c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</row>
    <row r="24" customFormat="false" ht="15.75" hidden="false" customHeight="true" outlineLevel="0" collapsed="false">
      <c r="A24" s="51" t="s">
        <v>1547</v>
      </c>
      <c r="B24" s="84" t="str">
        <f aca="false">IFERROR(__xludf.dummyfunction("""COMPUTED_VALUE"""),"Eastern White Pine")</f>
        <v>Eastern White Pine</v>
      </c>
      <c r="C24" s="83" t="n">
        <f aca="false">IFERROR(__xludf.dummyfunction("""COMPUTED_VALUE"""),400)</f>
        <v>400</v>
      </c>
      <c r="D24" s="82" t="n">
        <f aca="false">IFERROR(__xludf.dummyfunction("""COMPUTED_VALUE"""),0.356)</f>
        <v>0.356</v>
      </c>
      <c r="E24" s="77" t="n">
        <f aca="false">IFERROR(__xludf.dummyfunction("""COMPUTED_VALUE"""),8550000000)</f>
        <v>8550000000</v>
      </c>
      <c r="F24" s="77" t="n">
        <f aca="false">IFERROR(__xludf.dummyfunction("""COMPUTED_VALUE"""),59300000)</f>
        <v>59300000</v>
      </c>
      <c r="G24" s="85" t="n">
        <f aca="false">IFERROR(__xludf.dummyfunction("""COMPUTED_VALUE"""),0)</f>
        <v>0</v>
      </c>
      <c r="H24" s="85" t="n">
        <f aca="false">IFERROR(__xludf.dummyfunction("""COMPUTED_VALUE"""),33100000)</f>
        <v>33100000</v>
      </c>
      <c r="I24" s="85" t="n">
        <f aca="false">IFERROR(__xludf.dummyfunction("""COMPUTED_VALUE"""),1)</f>
        <v>1</v>
      </c>
      <c r="J24" s="85"/>
      <c r="K24" s="77"/>
      <c r="L24" s="77"/>
      <c r="M24" s="77"/>
      <c r="N24" s="77"/>
      <c r="O24" s="77"/>
      <c r="P24" s="77"/>
      <c r="Q24" s="77"/>
      <c r="R24" s="77"/>
      <c r="S24" s="85"/>
      <c r="T24" s="85"/>
      <c r="U24" s="77"/>
      <c r="V24" s="77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</row>
    <row r="25" customFormat="false" ht="15.75" hidden="false" customHeight="true" outlineLevel="0" collapsed="false">
      <c r="A25" s="51" t="s">
        <v>1547</v>
      </c>
      <c r="B25" s="79" t="str">
        <f aca="false">IFERROR(__xludf.dummyfunction("""COMPUTED_VALUE"""),"Sugar Pine")</f>
        <v>Sugar Pine</v>
      </c>
      <c r="C25" s="80" t="n">
        <f aca="false">IFERROR(__xludf.dummyfunction("""COMPUTED_VALUE"""),400)</f>
        <v>400</v>
      </c>
      <c r="D25" s="82" t="n">
        <f aca="false">IFERROR(__xludf.dummyfunction("""COMPUTED_VALUE"""),0.356)</f>
        <v>0.356</v>
      </c>
      <c r="E25" s="77" t="n">
        <f aca="false">IFERROR(__xludf.dummyfunction("""COMPUTED_VALUE"""),8210000000)</f>
        <v>8210000000</v>
      </c>
      <c r="F25" s="77" t="n">
        <f aca="false">IFERROR(__xludf.dummyfunction("""COMPUTED_VALUE"""),56600000)</f>
        <v>56600000</v>
      </c>
      <c r="G25" s="81" t="n">
        <f aca="false">IFERROR(__xludf.dummyfunction("""COMPUTED_VALUE"""),0)</f>
        <v>0</v>
      </c>
      <c r="H25" s="81" t="n">
        <f aca="false">IFERROR(__xludf.dummyfunction("""COMPUTED_VALUE"""),30800000)</f>
        <v>30800000</v>
      </c>
      <c r="I25" s="77" t="n">
        <f aca="false">IFERROR(__xludf.dummyfunction("""COMPUTED_VALUE"""),1)</f>
        <v>1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</row>
    <row r="26" customFormat="false" ht="15.75" hidden="false" customHeight="true" outlineLevel="0" collapsed="false">
      <c r="A26" s="51" t="s">
        <v>1547</v>
      </c>
      <c r="B26" s="79" t="str">
        <f aca="false">IFERROR(__xludf.dummyfunction("""COMPUTED_VALUE"""),"Western Juniper (OSU-Klamath)")</f>
        <v>Western Juniper (OSU-Klamath)</v>
      </c>
      <c r="C26" s="83" t="n">
        <f aca="false">IFERROR(__xludf.dummyfunction("""COMPUTED_VALUE"""),400)</f>
        <v>400</v>
      </c>
      <c r="D26" s="82" t="n">
        <f aca="false">IFERROR(__xludf.dummyfunction("""COMPUTED_VALUE"""),0.385571428571429)</f>
        <v>0.385571428571429</v>
      </c>
      <c r="E26" s="77" t="n">
        <f aca="false">IFERROR(__xludf.dummyfunction("""COMPUTED_VALUE"""),4630000000)</f>
        <v>4630000000</v>
      </c>
      <c r="F26" s="77" t="n">
        <f aca="false">IFERROR(__xludf.dummyfunction("""COMPUTED_VALUE"""),60590000)</f>
        <v>60590000</v>
      </c>
      <c r="G26" s="81" t="n">
        <f aca="false">IFERROR(__xludf.dummyfunction("""COMPUTED_VALUE"""),0)</f>
        <v>0</v>
      </c>
      <c r="H26" s="81" t="n">
        <f aca="false">IFERROR(__xludf.dummyfunction("""COMPUTED_VALUE"""),32580000)</f>
        <v>32580000</v>
      </c>
      <c r="I26" s="77" t="n">
        <f aca="false">IFERROR(__xludf.dummyfunction("""COMPUTED_VALUE"""),1)</f>
        <v>1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</row>
    <row r="27" customFormat="false" ht="15.75" hidden="false" customHeight="true" outlineLevel="0" collapsed="false">
      <c r="A27" s="51" t="s">
        <v>1547</v>
      </c>
      <c r="B27" s="79" t="str">
        <f aca="false">IFERROR(__xludf.dummyfunction("""COMPUTED_VALUE"""),"Siam Balsa")</f>
        <v>Siam Balsa</v>
      </c>
      <c r="C27" s="83" t="n">
        <f aca="false">IFERROR(__xludf.dummyfunction("""COMPUTED_VALUE"""),400)</f>
        <v>400</v>
      </c>
      <c r="D27" s="82" t="n">
        <f aca="false">IFERROR(__xludf.dummyfunction("""COMPUTED_VALUE"""),0.385571428571429)</f>
        <v>0.385571428571429</v>
      </c>
      <c r="E27" s="77" t="n">
        <f aca="false">IFERROR(__xludf.dummyfunction("""COMPUTED_VALUE"""),7170000000)</f>
        <v>7170000000</v>
      </c>
      <c r="F27" s="77" t="n">
        <f aca="false">IFERROR(__xludf.dummyfunction("""COMPUTED_VALUE"""),50600000)</f>
        <v>50600000</v>
      </c>
      <c r="G27" s="81" t="n">
        <f aca="false">IFERROR(__xludf.dummyfunction("""COMPUTED_VALUE"""),0)</f>
        <v>0</v>
      </c>
      <c r="H27" s="81" t="n">
        <f aca="false">IFERROR(__xludf.dummyfunction("""COMPUTED_VALUE"""),30800000)</f>
        <v>30800000</v>
      </c>
      <c r="I27" s="77" t="n">
        <f aca="false">IFERROR(__xludf.dummyfunction("""COMPUTED_VALUE"""),1)</f>
        <v>1</v>
      </c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</row>
    <row r="28" customFormat="false" ht="24.75" hidden="false" customHeight="true" outlineLevel="0" collapsed="false">
      <c r="A28" s="51" t="s">
        <v>1547</v>
      </c>
      <c r="B28" s="79" t="str">
        <f aca="false">IFERROR(__xludf.dummyfunction("""COMPUTED_VALUE"""),"Lutz spruce
(White × Sitka)")</f>
        <v>Lutz spruce
(White × Sitka)</v>
      </c>
      <c r="C28" s="80" t="n">
        <f aca="false">IFERROR(__xludf.dummyfunction("""COMPUTED_VALUE"""),404.2)</f>
        <v>404.2</v>
      </c>
      <c r="D28" s="82" t="n">
        <f aca="false">IFERROR(__xludf.dummyfunction("""COMPUTED_VALUE"""),0.372)</f>
        <v>0.372</v>
      </c>
      <c r="E28" s="77" t="n">
        <f aca="false">IFERROR(__xludf.dummyfunction("""COMPUTED_VALUE"""),13700000000)</f>
        <v>13700000000</v>
      </c>
      <c r="F28" s="77" t="n">
        <f aca="false">IFERROR(__xludf.dummyfunction("""COMPUTED_VALUE"""),65000000)</f>
        <v>65000000</v>
      </c>
      <c r="G28" s="81" t="n">
        <f aca="false">IFERROR(__xludf.dummyfunction("""COMPUTED_VALUE"""),0)</f>
        <v>0</v>
      </c>
      <c r="H28" s="81" t="n">
        <f aca="false">IFERROR(__xludf.dummyfunction("""COMPUTED_VALUE"""),35000000)</f>
        <v>35000000</v>
      </c>
      <c r="I28" s="77" t="n">
        <f aca="false">IFERROR(__xludf.dummyfunction("""COMPUTED_VALUE"""),1)</f>
        <v>1</v>
      </c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</row>
    <row r="29" customFormat="false" ht="15.75" hidden="false" customHeight="true" outlineLevel="0" collapsed="false">
      <c r="A29" s="51" t="s">
        <v>1547</v>
      </c>
      <c r="B29" s="79" t="str">
        <f aca="false">IFERROR(__xludf.dummyfunction("""COMPUTED_VALUE"""),"Norway Spruce (violins)")</f>
        <v>Norway Spruce (violins)</v>
      </c>
      <c r="C29" s="83" t="n">
        <f aca="false">IFERROR(__xludf.dummyfunction("""COMPUTED_VALUE"""),405)</f>
        <v>405</v>
      </c>
      <c r="D29" s="82" t="n">
        <f aca="false">IFERROR(__xludf.dummyfunction("""COMPUTED_VALUE"""),0.372)</f>
        <v>0.372</v>
      </c>
      <c r="E29" s="77" t="n">
        <f aca="false">IFERROR(__xludf.dummyfunction("""COMPUTED_VALUE"""),9700000000)</f>
        <v>9700000000</v>
      </c>
      <c r="F29" s="77" t="n">
        <f aca="false">IFERROR(__xludf.dummyfunction("""COMPUTED_VALUE"""),63000000)</f>
        <v>63000000</v>
      </c>
      <c r="G29" s="81" t="n">
        <f aca="false">IFERROR(__xludf.dummyfunction("""COMPUTED_VALUE"""),0)</f>
        <v>0</v>
      </c>
      <c r="H29" s="81" t="n">
        <f aca="false">IFERROR(__xludf.dummyfunction("""COMPUTED_VALUE"""),35500000)</f>
        <v>35500000</v>
      </c>
      <c r="I29" s="77" t="n">
        <f aca="false">IFERROR(__xludf.dummyfunction("""COMPUTED_VALUE"""),1)</f>
        <v>1</v>
      </c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</row>
    <row r="30" customFormat="false" ht="15.75" hidden="false" customHeight="true" outlineLevel="0" collapsed="false">
      <c r="A30" s="51" t="s">
        <v>1547</v>
      </c>
      <c r="B30" s="79" t="str">
        <f aca="false">IFERROR(__xludf.dummyfunction("""COMPUTED_VALUE"""),"Indian Pulai")</f>
        <v>Indian Pulai</v>
      </c>
      <c r="C30" s="83" t="n">
        <f aca="false">IFERROR(__xludf.dummyfunction("""COMPUTED_VALUE"""),410)</f>
        <v>410</v>
      </c>
      <c r="D30" s="82" t="n">
        <f aca="false">IFERROR(__xludf.dummyfunction("""COMPUTED_VALUE"""),0.385571428571429)</f>
        <v>0.385571428571429</v>
      </c>
      <c r="E30" s="77" t="n">
        <f aca="false">IFERROR(__xludf.dummyfunction("""COMPUTED_VALUE"""),8410000000)</f>
        <v>8410000000</v>
      </c>
      <c r="F30" s="77" t="n">
        <f aca="false">IFERROR(__xludf.dummyfunction("""COMPUTED_VALUE"""),55400000)</f>
        <v>55400000</v>
      </c>
      <c r="G30" s="81" t="n">
        <f aca="false">IFERROR(__xludf.dummyfunction("""COMPUTED_VALUE"""),0)</f>
        <v>0</v>
      </c>
      <c r="H30" s="81" t="n">
        <f aca="false">IFERROR(__xludf.dummyfunction("""COMPUTED_VALUE"""),29400000)</f>
        <v>29400000</v>
      </c>
      <c r="I30" s="77" t="n">
        <f aca="false">IFERROR(__xludf.dummyfunction("""COMPUTED_VALUE"""),1)</f>
        <v>1</v>
      </c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</row>
    <row r="31" customFormat="false" ht="15.75" hidden="false" customHeight="true" outlineLevel="0" collapsed="false">
      <c r="A31" s="51" t="s">
        <v>1547</v>
      </c>
      <c r="B31" s="79" t="str">
        <f aca="false">IFERROR(__xludf.dummyfunction("""COMPUTED_VALUE"""),"European Silver Fir")</f>
        <v>European Silver Fir</v>
      </c>
      <c r="C31" s="83" t="n">
        <f aca="false">IFERROR(__xludf.dummyfunction("""COMPUTED_VALUE"""),415)</f>
        <v>415</v>
      </c>
      <c r="D31" s="82" t="n">
        <f aca="false">IFERROR(__xludf.dummyfunction("""COMPUTED_VALUE"""),0.385571428571429)</f>
        <v>0.385571428571429</v>
      </c>
      <c r="E31" s="77" t="n">
        <f aca="false">IFERROR(__xludf.dummyfunction("""COMPUTED_VALUE"""),8280000000)</f>
        <v>8280000000</v>
      </c>
      <c r="F31" s="77" t="n">
        <f aca="false">IFERROR(__xludf.dummyfunction("""COMPUTED_VALUE"""),66100000)</f>
        <v>66100000</v>
      </c>
      <c r="G31" s="81" t="n">
        <f aca="false">IFERROR(__xludf.dummyfunction("""COMPUTED_VALUE"""),0)</f>
        <v>0</v>
      </c>
      <c r="H31" s="81" t="n">
        <f aca="false">IFERROR(__xludf.dummyfunction("""COMPUTED_VALUE"""),41000000)</f>
        <v>41000000</v>
      </c>
      <c r="I31" s="77" t="n">
        <f aca="false">IFERROR(__xludf.dummyfunction("""COMPUTED_VALUE"""),1)</f>
        <v>1</v>
      </c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</row>
    <row r="32" customFormat="false" ht="15.75" hidden="false" customHeight="true" outlineLevel="0" collapsed="false">
      <c r="A32" s="51" t="s">
        <v>1547</v>
      </c>
      <c r="B32" s="79" t="str">
        <f aca="false">IFERROR(__xludf.dummyfunction("""COMPUTED_VALUE"""),"Noble fir")</f>
        <v>Noble fir</v>
      </c>
      <c r="C32" s="80" t="n">
        <f aca="false">IFERROR(__xludf.dummyfunction("""COMPUTED_VALUE"""),415)</f>
        <v>415</v>
      </c>
      <c r="D32" s="82" t="n">
        <f aca="false">IFERROR(__xludf.dummyfunction("""COMPUTED_VALUE"""),0.385571428571429)</f>
        <v>0.385571428571429</v>
      </c>
      <c r="E32" s="77" t="n">
        <f aca="false">IFERROR(__xludf.dummyfunction("""COMPUTED_VALUE"""),11170000000)</f>
        <v>11170000000</v>
      </c>
      <c r="F32" s="77" t="n">
        <f aca="false">IFERROR(__xludf.dummyfunction("""COMPUTED_VALUE"""),74400000)</f>
        <v>74400000</v>
      </c>
      <c r="G32" s="81" t="n">
        <f aca="false">IFERROR(__xludf.dummyfunction("""COMPUTED_VALUE"""),0)</f>
        <v>0</v>
      </c>
      <c r="H32" s="81" t="n">
        <f aca="false">IFERROR(__xludf.dummyfunction("""COMPUTED_VALUE"""),39500000)</f>
        <v>39500000</v>
      </c>
      <c r="I32" s="77" t="n">
        <f aca="false">IFERROR(__xludf.dummyfunction("""COMPUTED_VALUE"""),1)</f>
        <v>1</v>
      </c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</row>
    <row r="33" customFormat="false" ht="15.75" hidden="false" customHeight="true" outlineLevel="0" collapsed="false">
      <c r="A33" s="51" t="s">
        <v>1547</v>
      </c>
      <c r="B33" s="79" t="str">
        <f aca="false">IFERROR(__xludf.dummyfunction("""COMPUTED_VALUE"""),"White fir")</f>
        <v>White fir</v>
      </c>
      <c r="C33" s="83" t="n">
        <f aca="false">IFERROR(__xludf.dummyfunction("""COMPUTED_VALUE"""),415)</f>
        <v>415</v>
      </c>
      <c r="D33" s="82" t="n">
        <f aca="false">IFERROR(__xludf.dummyfunction("""COMPUTED_VALUE"""),0.385571428571429)</f>
        <v>0.385571428571429</v>
      </c>
      <c r="E33" s="77" t="n">
        <f aca="false">IFERROR(__xludf.dummyfunction("""COMPUTED_VALUE"""),10240000000)</f>
        <v>10240000000</v>
      </c>
      <c r="F33" s="77" t="n">
        <f aca="false">IFERROR(__xludf.dummyfunction("""COMPUTED_VALUE"""),66900000)</f>
        <v>66900000</v>
      </c>
      <c r="G33" s="81" t="n">
        <f aca="false">IFERROR(__xludf.dummyfunction("""COMPUTED_VALUE"""),0)</f>
        <v>0</v>
      </c>
      <c r="H33" s="81" t="n">
        <f aca="false">IFERROR(__xludf.dummyfunction("""COMPUTED_VALUE"""),39600000)</f>
        <v>39600000</v>
      </c>
      <c r="I33" s="77" t="n">
        <f aca="false">IFERROR(__xludf.dummyfunction("""COMPUTED_VALUE"""),1)</f>
        <v>1</v>
      </c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</row>
    <row r="34" customFormat="false" ht="15.75" hidden="false" customHeight="true" outlineLevel="0" collapsed="false">
      <c r="A34" s="51" t="s">
        <v>1547</v>
      </c>
      <c r="B34" s="79" t="str">
        <f aca="false">IFERROR(__xludf.dummyfunction("""COMPUTED_VALUE"""),"American Basswood (Linden, Lime)")</f>
        <v>American Basswood (Linden, Lime)</v>
      </c>
      <c r="C34" s="80" t="n">
        <f aca="false">IFERROR(__xludf.dummyfunction("""COMPUTED_VALUE"""),415)</f>
        <v>415</v>
      </c>
      <c r="D34" s="82" t="n">
        <f aca="false">IFERROR(__xludf.dummyfunction("""COMPUTED_VALUE"""),0.364)</f>
        <v>0.364</v>
      </c>
      <c r="E34" s="77" t="n">
        <f aca="false">IFERROR(__xludf.dummyfunction("""COMPUTED_VALUE"""),10070000000)</f>
        <v>10070000000</v>
      </c>
      <c r="F34" s="77" t="n">
        <f aca="false">IFERROR(__xludf.dummyfunction("""COMPUTED_VALUE"""),60000000)</f>
        <v>60000000</v>
      </c>
      <c r="G34" s="81" t="n">
        <f aca="false">IFERROR(__xludf.dummyfunction("""COMPUTED_VALUE"""),0)</f>
        <v>0</v>
      </c>
      <c r="H34" s="81" t="n">
        <f aca="false">IFERROR(__xludf.dummyfunction("""COMPUTED_VALUE"""),32600000)</f>
        <v>32600000</v>
      </c>
      <c r="I34" s="77" t="n">
        <f aca="false">IFERROR(__xludf.dummyfunction("""COMPUTED_VALUE"""),1)</f>
        <v>1</v>
      </c>
      <c r="J34" s="81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</row>
    <row r="35" customFormat="false" ht="15.75" hidden="false" customHeight="true" outlineLevel="0" collapsed="false">
      <c r="A35" s="51" t="s">
        <v>1547</v>
      </c>
      <c r="B35" s="79" t="str">
        <f aca="false">IFERROR(__xludf.dummyfunction("""COMPUTED_VALUE"""),"Coast Redwood")</f>
        <v>Coast Redwood</v>
      </c>
      <c r="C35" s="80" t="n">
        <f aca="false">IFERROR(__xludf.dummyfunction("""COMPUTED_VALUE"""),415)</f>
        <v>415</v>
      </c>
      <c r="D35" s="82" t="n">
        <f aca="false">IFERROR(__xludf.dummyfunction("""COMPUTED_VALUE"""),0.36)</f>
        <v>0.36</v>
      </c>
      <c r="E35" s="77" t="n">
        <f aca="false">IFERROR(__xludf.dummyfunction("""COMPUTED_VALUE"""),8410000000)</f>
        <v>8410000000</v>
      </c>
      <c r="F35" s="77" t="n">
        <f aca="false">IFERROR(__xludf.dummyfunction("""COMPUTED_VALUE"""),61700000)</f>
        <v>61700000</v>
      </c>
      <c r="G35" s="81" t="n">
        <f aca="false">IFERROR(__xludf.dummyfunction("""COMPUTED_VALUE"""),0)</f>
        <v>0</v>
      </c>
      <c r="H35" s="81" t="n">
        <f aca="false">IFERROR(__xludf.dummyfunction("""COMPUTED_VALUE"""),39200000)</f>
        <v>39200000</v>
      </c>
      <c r="I35" s="77" t="n">
        <f aca="false">IFERROR(__xludf.dummyfunction("""COMPUTED_VALUE"""),1)</f>
        <v>1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</row>
    <row r="36" customFormat="false" ht="15.75" hidden="false" customHeight="true" outlineLevel="0" collapsed="false">
      <c r="A36" s="51" t="s">
        <v>1547</v>
      </c>
      <c r="B36" s="79" t="str">
        <f aca="false">IFERROR(__xludf.dummyfunction("""COMPUTED_VALUE"""),"Black Willow")</f>
        <v>Black Willow</v>
      </c>
      <c r="C36" s="83" t="n">
        <f aca="false">IFERROR(__xludf.dummyfunction("""COMPUTED_VALUE"""),415)</f>
        <v>415</v>
      </c>
      <c r="D36" s="82" t="n">
        <f aca="false">IFERROR(__xludf.dummyfunction("""COMPUTED_VALUE"""),0.385571428571429)</f>
        <v>0.385571428571429</v>
      </c>
      <c r="E36" s="77" t="n">
        <f aca="false">IFERROR(__xludf.dummyfunction("""COMPUTED_VALUE"""),6970000000)</f>
        <v>6970000000</v>
      </c>
      <c r="F36" s="77" t="n">
        <f aca="false">IFERROR(__xludf.dummyfunction("""COMPUTED_VALUE"""),53800000)</f>
        <v>53800000</v>
      </c>
      <c r="G36" s="81" t="n">
        <f aca="false">IFERROR(__xludf.dummyfunction("""COMPUTED_VALUE"""),0)</f>
        <v>0</v>
      </c>
      <c r="H36" s="81" t="n">
        <f aca="false">IFERROR(__xludf.dummyfunction("""COMPUTED_VALUE"""),28300000)</f>
        <v>28300000</v>
      </c>
      <c r="I36" s="77" t="n">
        <f aca="false">IFERROR(__xludf.dummyfunction("""COMPUTED_VALUE"""),1)</f>
        <v>1</v>
      </c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</row>
    <row r="37" customFormat="false" ht="15.75" hidden="false" customHeight="true" outlineLevel="0" collapsed="false">
      <c r="A37" s="51" t="s">
        <v>1547</v>
      </c>
      <c r="B37" s="79" t="str">
        <f aca="false">IFERROR(__xludf.dummyfunction("""COMPUTED_VALUE"""),"Quaking Aspen")</f>
        <v>Quaking Aspen</v>
      </c>
      <c r="C37" s="83" t="n">
        <f aca="false">IFERROR(__xludf.dummyfunction("""COMPUTED_VALUE"""),415)</f>
        <v>415</v>
      </c>
      <c r="D37" s="82" t="n">
        <f aca="false">IFERROR(__xludf.dummyfunction("""COMPUTED_VALUE"""),0.498)</f>
        <v>0.498</v>
      </c>
      <c r="E37" s="77" t="n">
        <f aca="false">IFERROR(__xludf.dummyfunction("""COMPUTED_VALUE"""),8150000000)</f>
        <v>8150000000</v>
      </c>
      <c r="F37" s="77" t="n">
        <f aca="false">IFERROR(__xludf.dummyfunction("""COMPUTED_VALUE"""),57900000)</f>
        <v>57900000</v>
      </c>
      <c r="G37" s="81" t="n">
        <f aca="false">IFERROR(__xludf.dummyfunction("""COMPUTED_VALUE"""),0)</f>
        <v>0</v>
      </c>
      <c r="H37" s="81" t="n">
        <f aca="false">IFERROR(__xludf.dummyfunction("""COMPUTED_VALUE"""),29300000)</f>
        <v>29300000</v>
      </c>
      <c r="I37" s="77" t="n">
        <f aca="false">IFERROR(__xludf.dummyfunction("""COMPUTED_VALUE"""),1)</f>
        <v>1</v>
      </c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</row>
    <row r="38" customFormat="false" ht="15.75" hidden="false" customHeight="true" outlineLevel="0" collapsed="false">
      <c r="A38" s="51" t="s">
        <v>1547</v>
      </c>
      <c r="B38" s="79" t="str">
        <f aca="false">IFERROR(__xludf.dummyfunction("""COMPUTED_VALUE"""),"Swiss Spruce")</f>
        <v>Swiss Spruce</v>
      </c>
      <c r="C38" s="83" t="n">
        <f aca="false">IFERROR(__xludf.dummyfunction("""COMPUTED_VALUE"""),420)</f>
        <v>420</v>
      </c>
      <c r="D38" s="82" t="n">
        <f aca="false">IFERROR(__xludf.dummyfunction("""COMPUTED_VALUE"""),0.372)</f>
        <v>0.372</v>
      </c>
      <c r="E38" s="77" t="n">
        <f aca="false">IFERROR(__xludf.dummyfunction("""COMPUTED_VALUE"""),11830000000)</f>
        <v>11830000000</v>
      </c>
      <c r="F38" s="77"/>
      <c r="G38" s="81" t="n">
        <f aca="false">IFERROR(__xludf.dummyfunction("""COMPUTED_VALUE"""),0)</f>
        <v>0</v>
      </c>
      <c r="H38" s="81"/>
      <c r="I38" s="77" t="n">
        <f aca="false">IFERROR(__xludf.dummyfunction("""COMPUTED_VALUE"""),1)</f>
        <v>1</v>
      </c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</row>
    <row r="39" customFormat="false" ht="15.75" hidden="false" customHeight="true" outlineLevel="0" collapsed="false">
      <c r="A39" s="51" t="s">
        <v>1547</v>
      </c>
      <c r="B39" s="79" t="str">
        <f aca="false">IFERROR(__xludf.dummyfunction("""COMPUTED_VALUE"""),"Sitka Spruce")</f>
        <v>Sitka Spruce</v>
      </c>
      <c r="C39" s="80" t="n">
        <f aca="false">IFERROR(__xludf.dummyfunction("""COMPUTED_VALUE"""),425)</f>
        <v>425</v>
      </c>
      <c r="D39" s="82" t="n">
        <f aca="false">IFERROR(__xludf.dummyfunction("""COMPUTED_VALUE"""),0.372)</f>
        <v>0.372</v>
      </c>
      <c r="E39" s="77" t="n">
        <f aca="false">IFERROR(__xludf.dummyfunction("""COMPUTED_VALUE"""),11030000000)</f>
        <v>11030000000</v>
      </c>
      <c r="F39" s="77" t="n">
        <f aca="false">IFERROR(__xludf.dummyfunction("""COMPUTED_VALUE"""),70000000)</f>
        <v>70000000</v>
      </c>
      <c r="G39" s="81" t="n">
        <f aca="false">IFERROR(__xludf.dummyfunction("""COMPUTED_VALUE"""),0)</f>
        <v>0</v>
      </c>
      <c r="H39" s="81" t="n">
        <f aca="false">IFERROR(__xludf.dummyfunction("""COMPUTED_VALUE"""),38200000)</f>
        <v>38200000</v>
      </c>
      <c r="I39" s="77" t="n">
        <f aca="false">IFERROR(__xludf.dummyfunction("""COMPUTED_VALUE"""),1)</f>
        <v>1</v>
      </c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</row>
    <row r="40" customFormat="false" ht="15.75" hidden="false" customHeight="true" outlineLevel="0" collapsed="false">
      <c r="A40" s="51" t="s">
        <v>1547</v>
      </c>
      <c r="B40" s="79" t="str">
        <f aca="false">IFERROR(__xludf.dummyfunction("""COMPUTED_VALUE"""),"White Spruce")</f>
        <v>White Spruce</v>
      </c>
      <c r="C40" s="83" t="n">
        <f aca="false">IFERROR(__xludf.dummyfunction("""COMPUTED_VALUE"""),425)</f>
        <v>425</v>
      </c>
      <c r="D40" s="82" t="n">
        <f aca="false">IFERROR(__xludf.dummyfunction("""COMPUTED_VALUE"""),0.372)</f>
        <v>0.372</v>
      </c>
      <c r="E40" s="77" t="n">
        <f aca="false">IFERROR(__xludf.dummyfunction("""COMPUTED_VALUE"""),9070000000)</f>
        <v>9070000000</v>
      </c>
      <c r="F40" s="77" t="n">
        <f aca="false">IFERROR(__xludf.dummyfunction("""COMPUTED_VALUE"""),59600000)</f>
        <v>59600000</v>
      </c>
      <c r="G40" s="81" t="n">
        <f aca="false">IFERROR(__xludf.dummyfunction("""COMPUTED_VALUE"""),0)</f>
        <v>0</v>
      </c>
      <c r="H40" s="81" t="n">
        <f aca="false">IFERROR(__xludf.dummyfunction("""COMPUTED_VALUE"""),32600000)</f>
        <v>32600000</v>
      </c>
      <c r="I40" s="77" t="n">
        <f aca="false">IFERROR(__xludf.dummyfunction("""COMPUTED_VALUE"""),1)</f>
        <v>1</v>
      </c>
      <c r="J40" s="81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</row>
    <row r="41" customFormat="false" ht="15.75" hidden="false" customHeight="true" outlineLevel="0" collapsed="false">
      <c r="A41" s="51" t="s">
        <v>1547</v>
      </c>
      <c r="B41" s="79" t="str">
        <f aca="false">IFERROR(__xludf.dummyfunction("""COMPUTED_VALUE"""),"Okoumé")</f>
        <v>Okoumé</v>
      </c>
      <c r="C41" s="83" t="n">
        <f aca="false">IFERROR(__xludf.dummyfunction("""COMPUTED_VALUE"""),430)</f>
        <v>430</v>
      </c>
      <c r="D41" s="82" t="n">
        <f aca="false">IFERROR(__xludf.dummyfunction("""COMPUTED_VALUE"""),0.385571428571429)</f>
        <v>0.385571428571429</v>
      </c>
      <c r="E41" s="77" t="n">
        <f aca="false">IFERROR(__xludf.dummyfunction("""COMPUTED_VALUE"""),8470000000)</f>
        <v>8470000000</v>
      </c>
      <c r="F41" s="77" t="n">
        <f aca="false">IFERROR(__xludf.dummyfunction("""COMPUTED_VALUE"""),75000000)</f>
        <v>75000000</v>
      </c>
      <c r="G41" s="81" t="n">
        <f aca="false">IFERROR(__xludf.dummyfunction("""COMPUTED_VALUE"""),0)</f>
        <v>0</v>
      </c>
      <c r="H41" s="81" t="n">
        <f aca="false">IFERROR(__xludf.dummyfunction("""COMPUTED_VALUE"""),36200000)</f>
        <v>36200000</v>
      </c>
      <c r="I41" s="77" t="n">
        <f aca="false">IFERROR(__xludf.dummyfunction("""COMPUTED_VALUE"""),1)</f>
        <v>1</v>
      </c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</row>
    <row r="42" customFormat="false" ht="15.75" hidden="false" customHeight="true" outlineLevel="0" collapsed="false">
      <c r="A42" s="51" t="s">
        <v>1547</v>
      </c>
      <c r="B42" s="79" t="str">
        <f aca="false">IFERROR(__xludf.dummyfunction("""COMPUTED_VALUE"""),"Red Spruce (Adirondack)")</f>
        <v>Red Spruce (Adirondack)</v>
      </c>
      <c r="C42" s="83" t="n">
        <f aca="false">IFERROR(__xludf.dummyfunction("""COMPUTED_VALUE"""),435)</f>
        <v>435</v>
      </c>
      <c r="D42" s="82" t="n">
        <f aca="false">IFERROR(__xludf.dummyfunction("""COMPUTED_VALUE"""),0.372)</f>
        <v>0.372</v>
      </c>
      <c r="E42" s="77" t="n">
        <f aca="false">IFERROR(__xludf.dummyfunction("""COMPUTED_VALUE"""),10760000000)</f>
        <v>10760000000</v>
      </c>
      <c r="F42" s="77" t="n">
        <f aca="false">IFERROR(__xludf.dummyfunction("""COMPUTED_VALUE"""),66000000)</f>
        <v>66000000</v>
      </c>
      <c r="G42" s="81" t="n">
        <f aca="false">IFERROR(__xludf.dummyfunction("""COMPUTED_VALUE"""),0)</f>
        <v>0</v>
      </c>
      <c r="H42" s="81" t="n">
        <f aca="false">IFERROR(__xludf.dummyfunction("""COMPUTED_VALUE"""),33600000)</f>
        <v>33600000</v>
      </c>
      <c r="I42" s="77" t="n">
        <f aca="false">IFERROR(__xludf.dummyfunction("""COMPUTED_VALUE"""),1)</f>
        <v>1</v>
      </c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</row>
    <row r="43" customFormat="false" ht="15.75" hidden="false" customHeight="true" outlineLevel="0" collapsed="false">
      <c r="A43" s="51" t="s">
        <v>1547</v>
      </c>
      <c r="B43" s="79" t="str">
        <f aca="false">IFERROR(__xludf.dummyfunction("""COMPUTED_VALUE"""),"California red fir")</f>
        <v>California red fir</v>
      </c>
      <c r="C43" s="80" t="n">
        <f aca="false">IFERROR(__xludf.dummyfunction("""COMPUTED_VALUE"""),435)</f>
        <v>435</v>
      </c>
      <c r="D43" s="82" t="n">
        <f aca="false">IFERROR(__xludf.dummyfunction("""COMPUTED_VALUE"""),0.385571428571429)</f>
        <v>0.385571428571429</v>
      </c>
      <c r="E43" s="77" t="n">
        <f aca="false">IFERROR(__xludf.dummyfunction("""COMPUTED_VALUE"""),10230000000)</f>
        <v>10230000000</v>
      </c>
      <c r="F43" s="77" t="n">
        <f aca="false">IFERROR(__xludf.dummyfunction("""COMPUTED_VALUE"""),71500000)</f>
        <v>71500000</v>
      </c>
      <c r="G43" s="81" t="n">
        <f aca="false">IFERROR(__xludf.dummyfunction("""COMPUTED_VALUE"""),0)</f>
        <v>0</v>
      </c>
      <c r="H43" s="81" t="n">
        <f aca="false">IFERROR(__xludf.dummyfunction("""COMPUTED_VALUE"""),37300000)</f>
        <v>37300000</v>
      </c>
      <c r="I43" s="77" t="n">
        <f aca="false">IFERROR(__xludf.dummyfunction("""COMPUTED_VALUE"""),1)</f>
        <v>1</v>
      </c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</row>
    <row r="44" customFormat="false" ht="15.75" hidden="false" customHeight="true" outlineLevel="0" collapsed="false">
      <c r="A44" s="51" t="s">
        <v>1547</v>
      </c>
      <c r="B44" s="79" t="str">
        <f aca="false">IFERROR(__xludf.dummyfunction("""COMPUTED_VALUE"""),"Pacific Silver Fir")</f>
        <v>Pacific Silver Fir</v>
      </c>
      <c r="C44" s="83" t="n">
        <f aca="false">IFERROR(__xludf.dummyfunction("""COMPUTED_VALUE"""),435)</f>
        <v>435</v>
      </c>
      <c r="D44" s="82" t="n">
        <f aca="false">IFERROR(__xludf.dummyfunction("""COMPUTED_VALUE"""),0.385571428571429)</f>
        <v>0.385571428571429</v>
      </c>
      <c r="E44" s="77" t="n">
        <f aca="false">IFERROR(__xludf.dummyfunction("""COMPUTED_VALUE"""),11590000000)</f>
        <v>11590000000</v>
      </c>
      <c r="F44" s="77" t="n">
        <f aca="false">IFERROR(__xludf.dummyfunction("""COMPUTED_VALUE"""),70600000)</f>
        <v>70600000</v>
      </c>
      <c r="G44" s="81" t="n">
        <f aca="false">IFERROR(__xludf.dummyfunction("""COMPUTED_VALUE"""),0)</f>
        <v>0</v>
      </c>
      <c r="H44" s="81" t="n">
        <f aca="false">IFERROR(__xludf.dummyfunction("""COMPUTED_VALUE"""),41800000)</f>
        <v>41800000</v>
      </c>
      <c r="I44" s="77" t="n">
        <f aca="false">IFERROR(__xludf.dummyfunction("""COMPUTED_VALUE"""),1)</f>
        <v>1</v>
      </c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</row>
    <row r="45" customFormat="false" ht="15.75" hidden="false" customHeight="true" outlineLevel="0" collapsed="false">
      <c r="A45" s="51" t="s">
        <v>1547</v>
      </c>
      <c r="B45" s="79" t="str">
        <f aca="false">IFERROR(__xludf.dummyfunction("""COMPUTED_VALUE"""),"Bigtooth Aspen")</f>
        <v>Bigtooth Aspen</v>
      </c>
      <c r="C45" s="80" t="n">
        <f aca="false">IFERROR(__xludf.dummyfunction("""COMPUTED_VALUE"""),435)</f>
        <v>435</v>
      </c>
      <c r="D45" s="82" t="n">
        <f aca="false">IFERROR(__xludf.dummyfunction("""COMPUTED_VALUE"""),0.498)</f>
        <v>0.498</v>
      </c>
      <c r="E45" s="77" t="n">
        <f aca="false">IFERROR(__xludf.dummyfunction("""COMPUTED_VALUE"""),9860000000)</f>
        <v>9860000000</v>
      </c>
      <c r="F45" s="77" t="n">
        <f aca="false">IFERROR(__xludf.dummyfunction("""COMPUTED_VALUE"""),62800000)</f>
        <v>62800000</v>
      </c>
      <c r="G45" s="81" t="n">
        <f aca="false">IFERROR(__xludf.dummyfunction("""COMPUTED_VALUE"""),0)</f>
        <v>0</v>
      </c>
      <c r="H45" s="81" t="n">
        <f aca="false">IFERROR(__xludf.dummyfunction("""COMPUTED_VALUE"""),36600000)</f>
        <v>36600000</v>
      </c>
      <c r="I45" s="77" t="n">
        <f aca="false">IFERROR(__xludf.dummyfunction("""COMPUTED_VALUE"""),1)</f>
        <v>1</v>
      </c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</row>
    <row r="46" customFormat="false" ht="15.75" hidden="false" customHeight="true" outlineLevel="0" collapsed="false">
      <c r="A46" s="51" t="s">
        <v>1547</v>
      </c>
      <c r="B46" s="79" t="str">
        <f aca="false">IFERROR(__xludf.dummyfunction("""COMPUTED_VALUE"""),"Western White Pine")</f>
        <v>Western White Pine</v>
      </c>
      <c r="C46" s="80" t="n">
        <f aca="false">IFERROR(__xludf.dummyfunction("""COMPUTED_VALUE"""),435)</f>
        <v>435</v>
      </c>
      <c r="D46" s="82" t="n">
        <f aca="false">IFERROR(__xludf.dummyfunction("""COMPUTED_VALUE"""),0.329)</f>
        <v>0.329</v>
      </c>
      <c r="E46" s="77" t="n">
        <f aca="false">IFERROR(__xludf.dummyfunction("""COMPUTED_VALUE"""),10070000000)</f>
        <v>10070000000</v>
      </c>
      <c r="F46" s="77" t="n">
        <f aca="false">IFERROR(__xludf.dummyfunction("""COMPUTED_VALUE"""),66900000)</f>
        <v>66900000</v>
      </c>
      <c r="G46" s="81" t="n">
        <f aca="false">IFERROR(__xludf.dummyfunction("""COMPUTED_VALUE"""),0)</f>
        <v>0</v>
      </c>
      <c r="H46" s="81" t="n">
        <f aca="false">IFERROR(__xludf.dummyfunction("""COMPUTED_VALUE"""),34800000)</f>
        <v>34800000</v>
      </c>
      <c r="I46" s="77" t="n">
        <f aca="false">IFERROR(__xludf.dummyfunction("""COMPUTED_VALUE"""),1)</f>
        <v>1</v>
      </c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</row>
    <row r="47" customFormat="false" ht="15.75" hidden="false" customHeight="true" outlineLevel="0" collapsed="false">
      <c r="A47" s="51" t="s">
        <v>1547</v>
      </c>
      <c r="B47" s="79" t="str">
        <f aca="false">IFERROR(__xludf.dummyfunction("""COMPUTED_VALUE"""),"Butternut")</f>
        <v>Butternut</v>
      </c>
      <c r="C47" s="83" t="n">
        <f aca="false">IFERROR(__xludf.dummyfunction("""COMPUTED_VALUE"""),435)</f>
        <v>435</v>
      </c>
      <c r="D47" s="82" t="n">
        <f aca="false">IFERROR(__xludf.dummyfunction("""COMPUTED_VALUE"""),0.385571428571429)</f>
        <v>0.385571428571429</v>
      </c>
      <c r="E47" s="77" t="n">
        <f aca="false">IFERROR(__xludf.dummyfunction("""COMPUTED_VALUE"""),8140000000)</f>
        <v>8140000000</v>
      </c>
      <c r="F47" s="77" t="n">
        <f aca="false">IFERROR(__xludf.dummyfunction("""COMPUTED_VALUE"""),55900000)</f>
        <v>55900000</v>
      </c>
      <c r="G47" s="81" t="n">
        <f aca="false">IFERROR(__xludf.dummyfunction("""COMPUTED_VALUE"""),0)</f>
        <v>0</v>
      </c>
      <c r="H47" s="81" t="n">
        <f aca="false">IFERROR(__xludf.dummyfunction("""COMPUTED_VALUE"""),35200000)</f>
        <v>35200000</v>
      </c>
      <c r="I47" s="77" t="n">
        <f aca="false">IFERROR(__xludf.dummyfunction("""COMPUTED_VALUE"""),1)</f>
        <v>1</v>
      </c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</row>
    <row r="48" customFormat="false" ht="15.75" hidden="false" customHeight="true" outlineLevel="0" collapsed="false">
      <c r="A48" s="51" t="s">
        <v>1547</v>
      </c>
      <c r="B48" s="79" t="str">
        <f aca="false">IFERROR(__xludf.dummyfunction("""COMPUTED_VALUE"""),"White Poplar")</f>
        <v>White Poplar</v>
      </c>
      <c r="C48" s="80" t="n">
        <f aca="false">IFERROR(__xludf.dummyfunction("""COMPUTED_VALUE"""),440)</f>
        <v>440</v>
      </c>
      <c r="D48" s="82" t="n">
        <f aca="false">IFERROR(__xludf.dummyfunction("""COMPUTED_VALUE"""),0.344)</f>
        <v>0.344</v>
      </c>
      <c r="E48" s="77" t="n">
        <f aca="false">IFERROR(__xludf.dummyfunction("""COMPUTED_VALUE"""),8900000000)</f>
        <v>8900000000</v>
      </c>
      <c r="F48" s="77" t="n">
        <f aca="false">IFERROR(__xludf.dummyfunction("""COMPUTED_VALUE"""),65000000)</f>
        <v>65000000</v>
      </c>
      <c r="G48" s="81" t="n">
        <f aca="false">IFERROR(__xludf.dummyfunction("""COMPUTED_VALUE"""),0)</f>
        <v>0</v>
      </c>
      <c r="H48" s="81"/>
      <c r="I48" s="77" t="n">
        <f aca="false">IFERROR(__xludf.dummyfunction("""COMPUTED_VALUE"""),1)</f>
        <v>1</v>
      </c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</row>
    <row r="49" customFormat="false" ht="15.75" hidden="false" customHeight="true" outlineLevel="0" collapsed="false">
      <c r="A49" s="51" t="s">
        <v>1547</v>
      </c>
      <c r="B49" s="79" t="str">
        <f aca="false">IFERROR(__xludf.dummyfunction("""COMPUTED_VALUE"""),"Western Juniper")</f>
        <v>Western Juniper</v>
      </c>
      <c r="C49" s="83" t="n">
        <f aca="false">IFERROR(__xludf.dummyfunction("""COMPUTED_VALUE"""),440)</f>
        <v>440</v>
      </c>
      <c r="D49" s="82" t="n">
        <f aca="false">IFERROR(__xludf.dummyfunction("""COMPUTED_VALUE"""),0.385571428571429)</f>
        <v>0.385571428571429</v>
      </c>
      <c r="E49" s="77" t="n">
        <f aca="false">IFERROR(__xludf.dummyfunction("""COMPUTED_VALUE"""),4430000000)</f>
        <v>4430000000</v>
      </c>
      <c r="F49" s="77" t="n">
        <f aca="false">IFERROR(__xludf.dummyfunction("""COMPUTED_VALUE"""),61500000)</f>
        <v>61500000</v>
      </c>
      <c r="G49" s="81" t="n">
        <f aca="false">IFERROR(__xludf.dummyfunction("""COMPUTED_VALUE"""),0)</f>
        <v>0</v>
      </c>
      <c r="H49" s="81" t="n">
        <f aca="false">IFERROR(__xludf.dummyfunction("""COMPUTED_VALUE"""),32500000)</f>
        <v>32500000</v>
      </c>
      <c r="I49" s="77" t="n">
        <f aca="false">IFERROR(__xludf.dummyfunction("""COMPUTED_VALUE"""),1)</f>
        <v>1</v>
      </c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</row>
    <row r="50" customFormat="false" ht="15.75" hidden="false" customHeight="true" outlineLevel="0" collapsed="false">
      <c r="A50" s="51" t="s">
        <v>1547</v>
      </c>
      <c r="B50" s="79" t="str">
        <f aca="false">IFERROR(__xludf.dummyfunction("""COMPUTED_VALUE"""),"Red Alder")</f>
        <v>Red Alder</v>
      </c>
      <c r="C50" s="80" t="n">
        <f aca="false">IFERROR(__xludf.dummyfunction("""COMPUTED_VALUE"""),450)</f>
        <v>450</v>
      </c>
      <c r="D50" s="82" t="n">
        <f aca="false">IFERROR(__xludf.dummyfunction("""COMPUTED_VALUE"""),0.385571428571429)</f>
        <v>0.385571428571429</v>
      </c>
      <c r="E50" s="77" t="n">
        <f aca="false">IFERROR(__xludf.dummyfunction("""COMPUTED_VALUE"""),9520000000)</f>
        <v>9520000000</v>
      </c>
      <c r="F50" s="77" t="n">
        <f aca="false">IFERROR(__xludf.dummyfunction("""COMPUTED_VALUE"""),67600000)</f>
        <v>67600000</v>
      </c>
      <c r="G50" s="81" t="n">
        <f aca="false">IFERROR(__xludf.dummyfunction("""COMPUTED_VALUE"""),0)</f>
        <v>0</v>
      </c>
      <c r="H50" s="81" t="n">
        <f aca="false">IFERROR(__xludf.dummyfunction("""COMPUTED_VALUE"""),40100000)</f>
        <v>40100000</v>
      </c>
      <c r="I50" s="77" t="n">
        <f aca="false">IFERROR(__xludf.dummyfunction("""COMPUTED_VALUE"""),1)</f>
        <v>1</v>
      </c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</row>
    <row r="51" customFormat="false" ht="15.75" hidden="false" customHeight="true" outlineLevel="0" collapsed="false">
      <c r="A51" s="51" t="s">
        <v>1547</v>
      </c>
      <c r="B51" s="79" t="str">
        <f aca="false">IFERROR(__xludf.dummyfunction("""COMPUTED_VALUE"""),"Eastern Hemlock")</f>
        <v>Eastern Hemlock</v>
      </c>
      <c r="C51" s="83" t="n">
        <f aca="false">IFERROR(__xludf.dummyfunction("""COMPUTED_VALUE"""),450)</f>
        <v>450</v>
      </c>
      <c r="D51" s="82" t="n">
        <f aca="false">IFERROR(__xludf.dummyfunction("""COMPUTED_VALUE"""),0.385571428571429)</f>
        <v>0.385571428571429</v>
      </c>
      <c r="E51" s="77" t="n">
        <f aca="false">IFERROR(__xludf.dummyfunction("""COMPUTED_VALUE"""),8280000000)</f>
        <v>8280000000</v>
      </c>
      <c r="F51" s="77" t="n">
        <f aca="false">IFERROR(__xludf.dummyfunction("""COMPUTED_VALUE"""),61400000)</f>
        <v>61400000</v>
      </c>
      <c r="G51" s="81" t="n">
        <f aca="false">IFERROR(__xludf.dummyfunction("""COMPUTED_VALUE"""),0)</f>
        <v>0</v>
      </c>
      <c r="H51" s="81" t="n">
        <f aca="false">IFERROR(__xludf.dummyfunction("""COMPUTED_VALUE"""),37300000)</f>
        <v>37300000</v>
      </c>
      <c r="I51" s="77" t="n">
        <f aca="false">IFERROR(__xludf.dummyfunction("""COMPUTED_VALUE"""),1)</f>
        <v>1</v>
      </c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</row>
    <row r="52" customFormat="false" ht="15.75" hidden="false" customHeight="true" outlineLevel="0" collapsed="false">
      <c r="A52" s="51" t="s">
        <v>1547</v>
      </c>
      <c r="B52" s="79" t="str">
        <f aca="false">IFERROR(__xludf.dummyfunction("""COMPUTED_VALUE"""),"Eastern Cottonwood")</f>
        <v>Eastern Cottonwood</v>
      </c>
      <c r="C52" s="83" t="n">
        <f aca="false">IFERROR(__xludf.dummyfunction("""COMPUTED_VALUE"""),450)</f>
        <v>450</v>
      </c>
      <c r="D52" s="82" t="n">
        <f aca="false">IFERROR(__xludf.dummyfunction("""COMPUTED_VALUE"""),0.344)</f>
        <v>0.344</v>
      </c>
      <c r="E52" s="77" t="n">
        <f aca="false">IFERROR(__xludf.dummyfunction("""COMPUTED_VALUE"""),9450000000)</f>
        <v>9450000000</v>
      </c>
      <c r="F52" s="77" t="n">
        <f aca="false">IFERROR(__xludf.dummyfunction("""COMPUTED_VALUE"""),58600000)</f>
        <v>58600000</v>
      </c>
      <c r="G52" s="81" t="n">
        <f aca="false">IFERROR(__xludf.dummyfunction("""COMPUTED_VALUE"""),0)</f>
        <v>0</v>
      </c>
      <c r="H52" s="81" t="n">
        <f aca="false">IFERROR(__xludf.dummyfunction("""COMPUTED_VALUE"""),33900000)</f>
        <v>33900000</v>
      </c>
      <c r="I52" s="77" t="n">
        <f aca="false">IFERROR(__xludf.dummyfunction("""COMPUTED_VALUE"""),1)</f>
        <v>1</v>
      </c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</row>
    <row r="53" customFormat="false" ht="15.75" hidden="false" customHeight="true" outlineLevel="0" collapsed="false">
      <c r="A53" s="51" t="s">
        <v>1547</v>
      </c>
      <c r="B53" s="79" t="str">
        <f aca="false">IFERROR(__xludf.dummyfunction("""COMPUTED_VALUE"""),"Ponderosa Pine")</f>
        <v>Ponderosa Pine</v>
      </c>
      <c r="C53" s="83" t="n">
        <f aca="false">IFERROR(__xludf.dummyfunction("""COMPUTED_VALUE"""),450)</f>
        <v>450</v>
      </c>
      <c r="D53" s="82" t="n">
        <f aca="false">IFERROR(__xludf.dummyfunction("""COMPUTED_VALUE"""),0.337)</f>
        <v>0.337</v>
      </c>
      <c r="E53" s="77" t="n">
        <f aca="false">IFERROR(__xludf.dummyfunction("""COMPUTED_VALUE"""),8900000000)</f>
        <v>8900000000</v>
      </c>
      <c r="F53" s="77" t="n">
        <f aca="false">IFERROR(__xludf.dummyfunction("""COMPUTED_VALUE"""),64800000)</f>
        <v>64800000</v>
      </c>
      <c r="G53" s="81" t="n">
        <f aca="false">IFERROR(__xludf.dummyfunction("""COMPUTED_VALUE"""),0)</f>
        <v>0</v>
      </c>
      <c r="H53" s="81" t="n">
        <f aca="false">IFERROR(__xludf.dummyfunction("""COMPUTED_VALUE"""),36700000)</f>
        <v>36700000</v>
      </c>
      <c r="I53" s="77" t="n">
        <f aca="false">IFERROR(__xludf.dummyfunction("""COMPUTED_VALUE"""),1)</f>
        <v>1</v>
      </c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</row>
    <row r="54" customFormat="false" ht="15.75" hidden="false" customHeight="true" outlineLevel="0" collapsed="false">
      <c r="A54" s="51" t="s">
        <v>1547</v>
      </c>
      <c r="B54" s="79" t="str">
        <f aca="false">IFERROR(__xludf.dummyfunction("""COMPUTED_VALUE"""),"Grand Fir")</f>
        <v>Grand Fir</v>
      </c>
      <c r="C54" s="80" t="n">
        <f aca="false">IFERROR(__xludf.dummyfunction("""COMPUTED_VALUE"""),450)</f>
        <v>450</v>
      </c>
      <c r="D54" s="82" t="n">
        <f aca="false">IFERROR(__xludf.dummyfunction("""COMPUTED_VALUE"""),0.385571428571429)</f>
        <v>0.385571428571429</v>
      </c>
      <c r="E54" s="77" t="n">
        <f aca="false">IFERROR(__xludf.dummyfunction("""COMPUTED_VALUE"""),10550000000)</f>
        <v>10550000000</v>
      </c>
      <c r="F54" s="77" t="n">
        <f aca="false">IFERROR(__xludf.dummyfunction("""COMPUTED_VALUE"""),60300000)</f>
        <v>60300000</v>
      </c>
      <c r="G54" s="81" t="n">
        <f aca="false">IFERROR(__xludf.dummyfunction("""COMPUTED_VALUE"""),0)</f>
        <v>0</v>
      </c>
      <c r="H54" s="81" t="n">
        <f aca="false">IFERROR(__xludf.dummyfunction("""COMPUTED_VALUE"""),35900000)</f>
        <v>35900000</v>
      </c>
      <c r="I54" s="77" t="n">
        <f aca="false">IFERROR(__xludf.dummyfunction("""COMPUTED_VALUE"""),1)</f>
        <v>1</v>
      </c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</row>
    <row r="55" customFormat="false" ht="15.75" hidden="false" customHeight="true" outlineLevel="0" collapsed="false">
      <c r="A55" s="51" t="s">
        <v>1547</v>
      </c>
      <c r="B55" s="79" t="str">
        <f aca="false">IFERROR(__xludf.dummyfunction("""COMPUTED_VALUE"""),"Black Spruce")</f>
        <v>Black Spruce</v>
      </c>
      <c r="C55" s="80" t="n">
        <f aca="false">IFERROR(__xludf.dummyfunction("""COMPUTED_VALUE"""),450)</f>
        <v>450</v>
      </c>
      <c r="D55" s="82" t="n">
        <f aca="false">IFERROR(__xludf.dummyfunction("""COMPUTED_VALUE"""),0.372)</f>
        <v>0.372</v>
      </c>
      <c r="E55" s="77" t="n">
        <f aca="false">IFERROR(__xludf.dummyfunction("""COMPUTED_VALUE"""),10500000000)</f>
        <v>10500000000</v>
      </c>
      <c r="F55" s="77" t="n">
        <f aca="false">IFERROR(__xludf.dummyfunction("""COMPUTED_VALUE"""),69700000)</f>
        <v>69700000</v>
      </c>
      <c r="G55" s="81" t="n">
        <f aca="false">IFERROR(__xludf.dummyfunction("""COMPUTED_VALUE"""),0)</f>
        <v>0</v>
      </c>
      <c r="H55" s="81" t="n">
        <f aca="false">IFERROR(__xludf.dummyfunction("""COMPUTED_VALUE"""),37300000)</f>
        <v>37300000</v>
      </c>
      <c r="I55" s="77" t="n">
        <f aca="false">IFERROR(__xludf.dummyfunction("""COMPUTED_VALUE"""),1)</f>
        <v>1</v>
      </c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</row>
    <row r="56" customFormat="false" ht="15.75" hidden="false" customHeight="true" outlineLevel="0" collapsed="false">
      <c r="A56" s="51" t="s">
        <v>1547</v>
      </c>
      <c r="B56" s="79" t="str">
        <f aca="false">IFERROR(__xludf.dummyfunction("""COMPUTED_VALUE"""),"Yellow Poplar")</f>
        <v>Yellow Poplar</v>
      </c>
      <c r="C56" s="83" t="n">
        <f aca="false">IFERROR(__xludf.dummyfunction("""COMPUTED_VALUE"""),455)</f>
        <v>455</v>
      </c>
      <c r="D56" s="82" t="n">
        <f aca="false">IFERROR(__xludf.dummyfunction("""COMPUTED_VALUE"""),0.318)</f>
        <v>0.318</v>
      </c>
      <c r="E56" s="77" t="n">
        <f aca="false">IFERROR(__xludf.dummyfunction("""COMPUTED_VALUE"""),10900000000)</f>
        <v>10900000000</v>
      </c>
      <c r="F56" s="77" t="n">
        <f aca="false">IFERROR(__xludf.dummyfunction("""COMPUTED_VALUE"""),69700000)</f>
        <v>69700000</v>
      </c>
      <c r="G56" s="81" t="n">
        <f aca="false">IFERROR(__xludf.dummyfunction("""COMPUTED_VALUE"""),0)</f>
        <v>0</v>
      </c>
      <c r="H56" s="81" t="n">
        <f aca="false">IFERROR(__xludf.dummyfunction("""COMPUTED_VALUE"""),38200000)</f>
        <v>38200000</v>
      </c>
      <c r="I56" s="77" t="n">
        <f aca="false">IFERROR(__xludf.dummyfunction("""COMPUTED_VALUE"""),1)</f>
        <v>1</v>
      </c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</row>
    <row r="57" customFormat="false" ht="15.75" hidden="false" customHeight="true" outlineLevel="0" collapsed="false">
      <c r="A57" s="51" t="s">
        <v>1547</v>
      </c>
      <c r="B57" s="79" t="str">
        <f aca="false">IFERROR(__xludf.dummyfunction("""COMPUTED_VALUE"""),"Catalpa")</f>
        <v>Catalpa</v>
      </c>
      <c r="C57" s="83" t="n">
        <f aca="false">IFERROR(__xludf.dummyfunction("""COMPUTED_VALUE"""),460)</f>
        <v>460</v>
      </c>
      <c r="D57" s="82" t="n">
        <f aca="false">IFERROR(__xludf.dummyfunction("""COMPUTED_VALUE"""),0.385571428571429)</f>
        <v>0.385571428571429</v>
      </c>
      <c r="E57" s="77" t="n">
        <f aca="false">IFERROR(__xludf.dummyfunction("""COMPUTED_VALUE"""),8350000000)</f>
        <v>8350000000</v>
      </c>
      <c r="F57" s="77" t="n">
        <f aca="false">IFERROR(__xludf.dummyfunction("""COMPUTED_VALUE"""),64800000)</f>
        <v>64800000</v>
      </c>
      <c r="G57" s="81" t="n">
        <f aca="false">IFERROR(__xludf.dummyfunction("""COMPUTED_VALUE"""),0)</f>
        <v>0</v>
      </c>
      <c r="H57" s="81" t="n">
        <f aca="false">IFERROR(__xludf.dummyfunction("""COMPUTED_VALUE"""),18900000)</f>
        <v>18900000</v>
      </c>
      <c r="I57" s="77" t="n">
        <f aca="false">IFERROR(__xludf.dummyfunction("""COMPUTED_VALUE"""),1)</f>
        <v>1</v>
      </c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</row>
    <row r="58" customFormat="false" ht="15.75" hidden="false" customHeight="true" outlineLevel="0" collapsed="false">
      <c r="A58" s="51" t="s">
        <v>1547</v>
      </c>
      <c r="B58" s="79" t="str">
        <f aca="false">IFERROR(__xludf.dummyfunction("""COMPUTED_VALUE"""),"Lodgepole Pine")</f>
        <v>Lodgepole Pine</v>
      </c>
      <c r="C58" s="80" t="n">
        <f aca="false">IFERROR(__xludf.dummyfunction("""COMPUTED_VALUE"""),465)</f>
        <v>465</v>
      </c>
      <c r="D58" s="82" t="n">
        <f aca="false">IFERROR(__xludf.dummyfunction("""COMPUTED_VALUE"""),0.337)</f>
        <v>0.337</v>
      </c>
      <c r="E58" s="77" t="n">
        <f aca="false">IFERROR(__xludf.dummyfunction("""COMPUTED_VALUE"""),9240000000)</f>
        <v>9240000000</v>
      </c>
      <c r="F58" s="77" t="n">
        <f aca="false">IFERROR(__xludf.dummyfunction("""COMPUTED_VALUE"""),64800000)</f>
        <v>64800000</v>
      </c>
      <c r="G58" s="81" t="n">
        <f aca="false">IFERROR(__xludf.dummyfunction("""COMPUTED_VALUE"""),0)</f>
        <v>0</v>
      </c>
      <c r="H58" s="81" t="n">
        <f aca="false">IFERROR(__xludf.dummyfunction("""COMPUTED_VALUE"""),37000000)</f>
        <v>37000000</v>
      </c>
      <c r="I58" s="77" t="n">
        <f aca="false">IFERROR(__xludf.dummyfunction("""COMPUTED_VALUE"""),1)</f>
        <v>1</v>
      </c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</row>
    <row r="59" customFormat="false" ht="15.75" hidden="false" customHeight="true" outlineLevel="0" collapsed="false">
      <c r="A59" s="51" t="s">
        <v>1547</v>
      </c>
      <c r="B59" s="79" t="str">
        <f aca="false">IFERROR(__xludf.dummyfunction("""COMPUTED_VALUE"""),"Port Orford Cedar")</f>
        <v>Port Orford Cedar</v>
      </c>
      <c r="C59" s="83" t="n">
        <f aca="false">IFERROR(__xludf.dummyfunction("""COMPUTED_VALUE"""),465)</f>
        <v>465</v>
      </c>
      <c r="D59" s="82" t="n">
        <f aca="false">IFERROR(__xludf.dummyfunction("""COMPUTED_VALUE"""),0.378)</f>
        <v>0.378</v>
      </c>
      <c r="E59" s="77" t="n">
        <f aca="false">IFERROR(__xludf.dummyfunction("""COMPUTED_VALUE"""),11350000000)</f>
        <v>11350000000</v>
      </c>
      <c r="F59" s="77" t="n">
        <f aca="false">IFERROR(__xludf.dummyfunction("""COMPUTED_VALUE"""),84800000)</f>
        <v>84800000</v>
      </c>
      <c r="G59" s="81" t="n">
        <f aca="false">IFERROR(__xludf.dummyfunction("""COMPUTED_VALUE"""),0)</f>
        <v>0</v>
      </c>
      <c r="H59" s="81" t="n">
        <f aca="false">IFERROR(__xludf.dummyfunction("""COMPUTED_VALUE"""),41900000)</f>
        <v>41900000</v>
      </c>
      <c r="I59" s="77" t="n">
        <f aca="false">IFERROR(__xludf.dummyfunction("""COMPUTED_VALUE"""),1)</f>
        <v>1</v>
      </c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</row>
    <row r="60" customFormat="false" ht="15.75" hidden="false" customHeight="true" outlineLevel="0" collapsed="false">
      <c r="A60" s="51" t="s">
        <v>1547</v>
      </c>
      <c r="B60" s="79" t="str">
        <f aca="false">IFERROR(__xludf.dummyfunction("""COMPUTED_VALUE"""),"Western Hemlock")</f>
        <v>Western Hemlock</v>
      </c>
      <c r="C60" s="80" t="n">
        <f aca="false">IFERROR(__xludf.dummyfunction("""COMPUTED_VALUE"""),465)</f>
        <v>465</v>
      </c>
      <c r="D60" s="82" t="n">
        <f aca="false">IFERROR(__xludf.dummyfunction("""COMPUTED_VALUE"""),0.485)</f>
        <v>0.485</v>
      </c>
      <c r="E60" s="77" t="n">
        <f aca="false">IFERROR(__xludf.dummyfunction("""COMPUTED_VALUE"""),11240000000)</f>
        <v>11240000000</v>
      </c>
      <c r="F60" s="77" t="n">
        <f aca="false">IFERROR(__xludf.dummyfunction("""COMPUTED_VALUE"""),77900000)</f>
        <v>77900000</v>
      </c>
      <c r="G60" s="81" t="n">
        <f aca="false">IFERROR(__xludf.dummyfunction("""COMPUTED_VALUE"""),0)</f>
        <v>0</v>
      </c>
      <c r="H60" s="81" t="n">
        <f aca="false">IFERROR(__xludf.dummyfunction("""COMPUTED_VALUE"""),37300000)</f>
        <v>37300000</v>
      </c>
      <c r="I60" s="77" t="n">
        <f aca="false">IFERROR(__xludf.dummyfunction("""COMPUTED_VALUE"""),1)</f>
        <v>1</v>
      </c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</row>
    <row r="61" customFormat="false" ht="15.75" hidden="false" customHeight="true" outlineLevel="0" collapsed="false">
      <c r="A61" s="51" t="s">
        <v>1547</v>
      </c>
      <c r="B61" s="79" t="str">
        <f aca="false">IFERROR(__xludf.dummyfunction("""COMPUTED_VALUE"""),"Primavera")</f>
        <v>Primavera</v>
      </c>
      <c r="C61" s="83" t="n">
        <f aca="false">IFERROR(__xludf.dummyfunction("""COMPUTED_VALUE"""),465)</f>
        <v>465</v>
      </c>
      <c r="D61" s="82" t="n">
        <f aca="false">IFERROR(__xludf.dummyfunction("""COMPUTED_VALUE"""),0.385571428571429)</f>
        <v>0.385571428571429</v>
      </c>
      <c r="E61" s="77" t="n">
        <f aca="false">IFERROR(__xludf.dummyfunction("""COMPUTED_VALUE"""),7810000000)</f>
        <v>7810000000</v>
      </c>
      <c r="F61" s="77" t="n">
        <f aca="false">IFERROR(__xludf.dummyfunction("""COMPUTED_VALUE"""),70500000)</f>
        <v>70500000</v>
      </c>
      <c r="G61" s="81" t="n">
        <f aca="false">IFERROR(__xludf.dummyfunction("""COMPUTED_VALUE"""),0)</f>
        <v>0</v>
      </c>
      <c r="H61" s="81" t="n">
        <f aca="false">IFERROR(__xludf.dummyfunction("""COMPUTED_VALUE"""),40400000)</f>
        <v>40400000</v>
      </c>
      <c r="I61" s="77" t="n">
        <f aca="false">IFERROR(__xludf.dummyfunction("""COMPUTED_VALUE"""),1)</f>
        <v>1</v>
      </c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</row>
    <row r="62" customFormat="false" ht="15.75" hidden="false" customHeight="true" outlineLevel="0" collapsed="false">
      <c r="A62" s="51" t="s">
        <v>1547</v>
      </c>
      <c r="B62" s="79" t="str">
        <f aca="false">IFERROR(__xludf.dummyfunction("""COMPUTED_VALUE"""),"Mexican Cypress")</f>
        <v>Mexican Cypress</v>
      </c>
      <c r="C62" s="83" t="n">
        <f aca="false">IFERROR(__xludf.dummyfunction("""COMPUTED_VALUE"""),470)</f>
        <v>470</v>
      </c>
      <c r="D62" s="82" t="n">
        <f aca="false">IFERROR(__xludf.dummyfunction("""COMPUTED_VALUE"""),0.385571428571429)</f>
        <v>0.385571428571429</v>
      </c>
      <c r="E62" s="77" t="n">
        <f aca="false">IFERROR(__xludf.dummyfunction("""COMPUTED_VALUE"""),8720000000)</f>
        <v>8720000000</v>
      </c>
      <c r="F62" s="77" t="n">
        <f aca="false">IFERROR(__xludf.dummyfunction("""COMPUTED_VALUE"""),76400000)</f>
        <v>76400000</v>
      </c>
      <c r="G62" s="81" t="n">
        <f aca="false">IFERROR(__xludf.dummyfunction("""COMPUTED_VALUE"""),0)</f>
        <v>0</v>
      </c>
      <c r="H62" s="81" t="n">
        <f aca="false">IFERROR(__xludf.dummyfunction("""COMPUTED_VALUE"""),39000000)</f>
        <v>39000000</v>
      </c>
      <c r="I62" s="77" t="n">
        <f aca="false">IFERROR(__xludf.dummyfunction("""COMPUTED_VALUE"""),1)</f>
        <v>1</v>
      </c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</row>
    <row r="63" customFormat="false" ht="15.75" hidden="false" customHeight="true" outlineLevel="0" collapsed="false">
      <c r="A63" s="51" t="s">
        <v>1547</v>
      </c>
      <c r="B63" s="79" t="str">
        <f aca="false">IFERROR(__xludf.dummyfunction("""COMPUTED_VALUE"""),"Spanish Cedar")</f>
        <v>Spanish Cedar</v>
      </c>
      <c r="C63" s="83" t="n">
        <f aca="false">IFERROR(__xludf.dummyfunction("""COMPUTED_VALUE"""),470)</f>
        <v>470</v>
      </c>
      <c r="D63" s="82" t="n">
        <f aca="false">IFERROR(__xludf.dummyfunction("""COMPUTED_VALUE"""),0.385571428571429)</f>
        <v>0.385571428571429</v>
      </c>
      <c r="E63" s="77" t="n">
        <f aca="false">IFERROR(__xludf.dummyfunction("""COMPUTED_VALUE"""),9120000000)</f>
        <v>9120000000</v>
      </c>
      <c r="F63" s="77" t="n">
        <f aca="false">IFERROR(__xludf.dummyfunction("""COMPUTED_VALUE"""),70800000)</f>
        <v>70800000</v>
      </c>
      <c r="G63" s="81" t="n">
        <f aca="false">IFERROR(__xludf.dummyfunction("""COMPUTED_VALUE"""),0)</f>
        <v>0</v>
      </c>
      <c r="H63" s="81" t="n">
        <f aca="false">IFERROR(__xludf.dummyfunction("""COMPUTED_VALUE"""),40400000)</f>
        <v>40400000</v>
      </c>
      <c r="I63" s="77" t="n">
        <f aca="false">IFERROR(__xludf.dummyfunction("""COMPUTED_VALUE"""),1)</f>
        <v>1</v>
      </c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</row>
    <row r="64" customFormat="false" ht="15.75" hidden="false" customHeight="true" outlineLevel="0" collapsed="false">
      <c r="A64" s="51" t="s">
        <v>1547</v>
      </c>
      <c r="B64" s="79" t="str">
        <f aca="false">IFERROR(__xludf.dummyfunction("""COMPUTED_VALUE"""),"American Chestnut")</f>
        <v>American Chestnut</v>
      </c>
      <c r="C64" s="83" t="n">
        <f aca="false">IFERROR(__xludf.dummyfunction("""COMPUTED_VALUE"""),480)</f>
        <v>480</v>
      </c>
      <c r="D64" s="82" t="n">
        <f aca="false">IFERROR(__xludf.dummyfunction("""COMPUTED_VALUE"""),0.385571428571429)</f>
        <v>0.385571428571429</v>
      </c>
      <c r="E64" s="77" t="n">
        <f aca="false">IFERROR(__xludf.dummyfunction("""COMPUTED_VALUE"""),8480000000)</f>
        <v>8480000000</v>
      </c>
      <c r="F64" s="77" t="n">
        <f aca="false">IFERROR(__xludf.dummyfunction("""COMPUTED_VALUE"""),59300000)</f>
        <v>59300000</v>
      </c>
      <c r="G64" s="81" t="n">
        <f aca="false">IFERROR(__xludf.dummyfunction("""COMPUTED_VALUE"""),0)</f>
        <v>0</v>
      </c>
      <c r="H64" s="81" t="n">
        <f aca="false">IFERROR(__xludf.dummyfunction("""COMPUTED_VALUE"""),36700000)</f>
        <v>36700000</v>
      </c>
      <c r="I64" s="77" t="n">
        <f aca="false">IFERROR(__xludf.dummyfunction("""COMPUTED_VALUE"""),1)</f>
        <v>1</v>
      </c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</row>
    <row r="65" customFormat="false" ht="15.75" hidden="false" customHeight="true" outlineLevel="0" collapsed="false">
      <c r="A65" s="51" t="s">
        <v>1547</v>
      </c>
      <c r="B65" s="79" t="str">
        <f aca="false">IFERROR(__xludf.dummyfunction("""COMPUTED_VALUE"""),"Gowen Cypress")</f>
        <v>Gowen Cypress</v>
      </c>
      <c r="C65" s="83" t="n">
        <f aca="false">IFERROR(__xludf.dummyfunction("""COMPUTED_VALUE"""),480)</f>
        <v>480</v>
      </c>
      <c r="D65" s="82" t="n">
        <f aca="false">IFERROR(__xludf.dummyfunction("""COMPUTED_VALUE"""),0.385571428571429)</f>
        <v>0.385571428571429</v>
      </c>
      <c r="E65" s="77" t="n">
        <f aca="false">IFERROR(__xludf.dummyfunction("""COMPUTED_VALUE"""),4500000000)</f>
        <v>4500000000</v>
      </c>
      <c r="F65" s="77" t="n">
        <f aca="false">IFERROR(__xludf.dummyfunction("""COMPUTED_VALUE"""),56900000)</f>
        <v>56900000</v>
      </c>
      <c r="G65" s="81" t="n">
        <f aca="false">IFERROR(__xludf.dummyfunction("""COMPUTED_VALUE"""),0)</f>
        <v>0</v>
      </c>
      <c r="H65" s="81" t="n">
        <f aca="false">IFERROR(__xludf.dummyfunction("""COMPUTED_VALUE"""),25400000)</f>
        <v>25400000</v>
      </c>
      <c r="I65" s="77" t="n">
        <f aca="false">IFERROR(__xludf.dummyfunction("""COMPUTED_VALUE"""),1)</f>
        <v>1</v>
      </c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</row>
    <row r="66" customFormat="false" ht="15.75" hidden="false" customHeight="true" outlineLevel="0" collapsed="false">
      <c r="A66" s="51" t="s">
        <v>1547</v>
      </c>
      <c r="B66" s="79" t="str">
        <f aca="false">IFERROR(__xludf.dummyfunction("""COMPUTED_VALUE"""),"Australian Red Cedar (Toona)")</f>
        <v>Australian Red Cedar (Toona)</v>
      </c>
      <c r="C66" s="83" t="n">
        <f aca="false">IFERROR(__xludf.dummyfunction("""COMPUTED_VALUE"""),485)</f>
        <v>485</v>
      </c>
      <c r="D66" s="82" t="n">
        <f aca="false">IFERROR(__xludf.dummyfunction("""COMPUTED_VALUE"""),0.385571428571429)</f>
        <v>0.385571428571429</v>
      </c>
      <c r="E66" s="77" t="n">
        <f aca="false">IFERROR(__xludf.dummyfunction("""COMPUTED_VALUE"""),9220000000)</f>
        <v>9220000000</v>
      </c>
      <c r="F66" s="77" t="n">
        <f aca="false">IFERROR(__xludf.dummyfunction("""COMPUTED_VALUE"""),71500000)</f>
        <v>71500000</v>
      </c>
      <c r="G66" s="81" t="n">
        <f aca="false">IFERROR(__xludf.dummyfunction("""COMPUTED_VALUE"""),0)</f>
        <v>0</v>
      </c>
      <c r="H66" s="81" t="n">
        <f aca="false">IFERROR(__xludf.dummyfunction("""COMPUTED_VALUE"""),36100000)</f>
        <v>36100000</v>
      </c>
      <c r="I66" s="77" t="n">
        <f aca="false">IFERROR(__xludf.dummyfunction("""COMPUTED_VALUE"""),1)</f>
        <v>1</v>
      </c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</row>
    <row r="67" customFormat="false" ht="15.75" hidden="false" customHeight="true" outlineLevel="0" collapsed="false">
      <c r="A67" s="51" t="s">
        <v>1547</v>
      </c>
      <c r="B67" s="79" t="str">
        <f aca="false">IFERROR(__xludf.dummyfunction("""COMPUTED_VALUE"""),"Alaskan Yellow Cedar")</f>
        <v>Alaskan Yellow Cedar</v>
      </c>
      <c r="C67" s="83" t="n">
        <f aca="false">IFERROR(__xludf.dummyfunction("""COMPUTED_VALUE"""),495)</f>
        <v>495</v>
      </c>
      <c r="D67" s="82" t="n">
        <f aca="false">IFERROR(__xludf.dummyfunction("""COMPUTED_VALUE"""),0.385571428571429)</f>
        <v>0.385571428571429</v>
      </c>
      <c r="E67" s="77" t="n">
        <f aca="false">IFERROR(__xludf.dummyfunction("""COMPUTED_VALUE"""),9790000000)</f>
        <v>9790000000</v>
      </c>
      <c r="F67" s="77" t="n">
        <f aca="false">IFERROR(__xludf.dummyfunction("""COMPUTED_VALUE"""),76600000)</f>
        <v>76600000</v>
      </c>
      <c r="G67" s="81" t="n">
        <f aca="false">IFERROR(__xludf.dummyfunction("""COMPUTED_VALUE"""),0)</f>
        <v>0</v>
      </c>
      <c r="H67" s="81" t="n">
        <f aca="false">IFERROR(__xludf.dummyfunction("""COMPUTED_VALUE"""),43500000)</f>
        <v>43500000</v>
      </c>
      <c r="I67" s="77" t="n">
        <f aca="false">IFERROR(__xludf.dummyfunction("""COMPUTED_VALUE"""),1)</f>
        <v>1</v>
      </c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</row>
    <row r="68" customFormat="false" ht="15.75" hidden="false" customHeight="true" outlineLevel="0" collapsed="false">
      <c r="A68" s="51" t="s">
        <v>1547</v>
      </c>
      <c r="B68" s="86" t="str">
        <f aca="false">IFERROR(__xludf.dummyfunction("""COMPUTED_VALUE"""),"Sassafras")</f>
        <v>Sassafras</v>
      </c>
      <c r="C68" s="83" t="n">
        <f aca="false">IFERROR(__xludf.dummyfunction("""COMPUTED_VALUE"""),495)</f>
        <v>495</v>
      </c>
      <c r="D68" s="82" t="n">
        <f aca="false">IFERROR(__xludf.dummyfunction("""COMPUTED_VALUE"""),0.385571428571429)</f>
        <v>0.385571428571429</v>
      </c>
      <c r="E68" s="77" t="n">
        <f aca="false">IFERROR(__xludf.dummyfunction("""COMPUTED_VALUE"""),7720000000)</f>
        <v>7720000000</v>
      </c>
      <c r="F68" s="77" t="n">
        <f aca="false">IFERROR(__xludf.dummyfunction("""COMPUTED_VALUE"""),62100000)</f>
        <v>62100000</v>
      </c>
      <c r="G68" s="85" t="n">
        <f aca="false">IFERROR(__xludf.dummyfunction("""COMPUTED_VALUE"""),0)</f>
        <v>0</v>
      </c>
      <c r="H68" s="85" t="n">
        <f aca="false">IFERROR(__xludf.dummyfunction("""COMPUTED_VALUE"""),45500000)</f>
        <v>45500000</v>
      </c>
      <c r="I68" s="77" t="n">
        <f aca="false">IFERROR(__xludf.dummyfunction("""COMPUTED_VALUE"""),1)</f>
        <v>1</v>
      </c>
      <c r="J68" s="85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</row>
    <row r="69" customFormat="false" ht="15.75" hidden="false" customHeight="true" outlineLevel="0" collapsed="false">
      <c r="A69" s="51" t="s">
        <v>1547</v>
      </c>
      <c r="B69" s="86" t="str">
        <f aca="false">IFERROR(__xludf.dummyfunction("""COMPUTED_VALUE"""),"Begin Backs ⬇")</f>
        <v>Begin Backs ⬇</v>
      </c>
      <c r="C69" s="83"/>
      <c r="D69" s="82"/>
      <c r="E69" s="77"/>
      <c r="F69" s="77"/>
      <c r="G69" s="85" t="n">
        <f aca="false">IFERROR(__xludf.dummyfunction("""COMPUTED_VALUE"""),0)</f>
        <v>0</v>
      </c>
      <c r="H69" s="85"/>
      <c r="I69" s="77" t="n">
        <f aca="false">IFERROR(__xludf.dummyfunction("""COMPUTED_VALUE"""),1)</f>
        <v>1</v>
      </c>
      <c r="J69" s="85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</row>
    <row r="70" customFormat="false" ht="15.75" hidden="false" customHeight="true" outlineLevel="0" collapsed="false">
      <c r="A70" s="51" t="s">
        <v>1547</v>
      </c>
      <c r="B70" s="79" t="str">
        <f aca="false">IFERROR(__xludf.dummyfunction("""COMPUTED_VALUE"""),"Leyland Cypress")</f>
        <v>Leyland Cypress</v>
      </c>
      <c r="C70" s="83" t="n">
        <f aca="false">IFERROR(__xludf.dummyfunction("""COMPUTED_VALUE"""),500)</f>
        <v>500</v>
      </c>
      <c r="D70" s="82" t="n">
        <f aca="false">IFERROR(__xludf.dummyfunction("""COMPUTED_VALUE"""),0.385571428571429)</f>
        <v>0.385571428571429</v>
      </c>
      <c r="E70" s="77" t="n">
        <f aca="false">IFERROR(__xludf.dummyfunction("""COMPUTED_VALUE"""),6820000000)</f>
        <v>6820000000</v>
      </c>
      <c r="F70" s="77" t="n">
        <f aca="false">IFERROR(__xludf.dummyfunction("""COMPUTED_VALUE"""),82700000)</f>
        <v>82700000</v>
      </c>
      <c r="G70" s="81" t="n">
        <f aca="false">IFERROR(__xludf.dummyfunction("""COMPUTED_VALUE"""),0)</f>
        <v>0</v>
      </c>
      <c r="H70" s="81" t="n">
        <f aca="false">IFERROR(__xludf.dummyfunction("""COMPUTED_VALUE"""),38000000)</f>
        <v>38000000</v>
      </c>
      <c r="I70" s="77" t="n">
        <f aca="false">IFERROR(__xludf.dummyfunction("""COMPUTED_VALUE"""),1)</f>
        <v>1</v>
      </c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</row>
    <row r="71" customFormat="false" ht="15.75" hidden="false" customHeight="true" outlineLevel="0" collapsed="false">
      <c r="A71" s="51" t="s">
        <v>1547</v>
      </c>
      <c r="B71" s="79" t="str">
        <f aca="false">IFERROR(__xludf.dummyfunction("""COMPUTED_VALUE"""),"Southern Redcedar")</f>
        <v>Southern Redcedar</v>
      </c>
      <c r="C71" s="80" t="n">
        <f aca="false">IFERROR(__xludf.dummyfunction("""COMPUTED_VALUE"""),505)</f>
        <v>505</v>
      </c>
      <c r="D71" s="82" t="n">
        <f aca="false">IFERROR(__xludf.dummyfunction("""COMPUTED_VALUE"""),0.375692307692308)</f>
        <v>0.375692307692308</v>
      </c>
      <c r="E71" s="77" t="n">
        <f aca="false">IFERROR(__xludf.dummyfunction("""COMPUTED_VALUE"""),8070000000)</f>
        <v>8070000000</v>
      </c>
      <c r="F71" s="77" t="n">
        <f aca="false">IFERROR(__xludf.dummyfunction("""COMPUTED_VALUE"""),64800000)</f>
        <v>64800000</v>
      </c>
      <c r="G71" s="81" t="n">
        <f aca="false">IFERROR(__xludf.dummyfunction("""COMPUTED_VALUE"""),0)</f>
        <v>0</v>
      </c>
      <c r="H71" s="81" t="n">
        <f aca="false">IFERROR(__xludf.dummyfunction("""COMPUTED_VALUE"""),45300000)</f>
        <v>45300000</v>
      </c>
      <c r="I71" s="77" t="n">
        <f aca="false">IFERROR(__xludf.dummyfunction("""COMPUTED_VALUE"""),1)</f>
        <v>1</v>
      </c>
      <c r="J71" s="81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</row>
    <row r="72" customFormat="false" ht="15.75" hidden="false" customHeight="true" outlineLevel="0" collapsed="false">
      <c r="A72" s="51" t="s">
        <v>1547</v>
      </c>
      <c r="B72" s="79" t="str">
        <f aca="false">IFERROR(__xludf.dummyfunction("""COMPUTED_VALUE"""),"Douglas-fir")</f>
        <v>Douglas-fir</v>
      </c>
      <c r="C72" s="83" t="n">
        <f aca="false">IFERROR(__xludf.dummyfunction("""COMPUTED_VALUE"""),510)</f>
        <v>510</v>
      </c>
      <c r="D72" s="82" t="n">
        <f aca="false">IFERROR(__xludf.dummyfunction("""COMPUTED_VALUE"""),0.292)</f>
        <v>0.292</v>
      </c>
      <c r="E72" s="77" t="n">
        <f aca="false">IFERROR(__xludf.dummyfunction("""COMPUTED_VALUE"""),12170000000)</f>
        <v>12170000000</v>
      </c>
      <c r="F72" s="77" t="n">
        <f aca="false">IFERROR(__xludf.dummyfunction("""COMPUTED_VALUE"""),86200000)</f>
        <v>86200000</v>
      </c>
      <c r="G72" s="81" t="n">
        <f aca="false">IFERROR(__xludf.dummyfunction("""COMPUTED_VALUE"""),0)</f>
        <v>0</v>
      </c>
      <c r="H72" s="81" t="n">
        <f aca="false">IFERROR(__xludf.dummyfunction("""COMPUTED_VALUE"""),47900000)</f>
        <v>47900000</v>
      </c>
      <c r="I72" s="77" t="n">
        <f aca="false">IFERROR(__xludf.dummyfunction("""COMPUTED_VALUE"""),1)</f>
        <v>1</v>
      </c>
      <c r="J72" s="81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</row>
    <row r="73" customFormat="false" ht="15.75" hidden="false" customHeight="true" outlineLevel="0" collapsed="false">
      <c r="A73" s="51" t="s">
        <v>1547</v>
      </c>
      <c r="B73" s="79" t="str">
        <f aca="false">IFERROR(__xludf.dummyfunction("""COMPUTED_VALUE"""),"Monterey Cypress")</f>
        <v>Monterey Cypress</v>
      </c>
      <c r="C73" s="83" t="n">
        <f aca="false">IFERROR(__xludf.dummyfunction("""COMPUTED_VALUE"""),515)</f>
        <v>515</v>
      </c>
      <c r="D73" s="82" t="n">
        <f aca="false">IFERROR(__xludf.dummyfunction("""COMPUTED_VALUE"""),0.375692307692308)</f>
        <v>0.375692307692308</v>
      </c>
      <c r="E73" s="77" t="n">
        <f aca="false">IFERROR(__xludf.dummyfunction("""COMPUTED_VALUE"""),7810000000)</f>
        <v>7810000000</v>
      </c>
      <c r="F73" s="77" t="n">
        <f aca="false">IFERROR(__xludf.dummyfunction("""COMPUTED_VALUE"""),81200000)</f>
        <v>81200000</v>
      </c>
      <c r="G73" s="81" t="n">
        <f aca="false">IFERROR(__xludf.dummyfunction("""COMPUTED_VALUE"""),0)</f>
        <v>0</v>
      </c>
      <c r="H73" s="81" t="n">
        <f aca="false">IFERROR(__xludf.dummyfunction("""COMPUTED_VALUE"""),39400000)</f>
        <v>39400000</v>
      </c>
      <c r="I73" s="77" t="n">
        <f aca="false">IFERROR(__xludf.dummyfunction("""COMPUTED_VALUE"""),1)</f>
        <v>1</v>
      </c>
      <c r="J73" s="81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</row>
    <row r="74" customFormat="false" ht="15.75" hidden="false" customHeight="true" outlineLevel="0" collapsed="false">
      <c r="A74" s="51" t="s">
        <v>1547</v>
      </c>
      <c r="B74" s="79" t="str">
        <f aca="false">IFERROR(__xludf.dummyfunction("""COMPUTED_VALUE"""),"Striped Maple")</f>
        <v>Striped Maple</v>
      </c>
      <c r="C74" s="80" t="n">
        <f aca="false">IFERROR(__xludf.dummyfunction("""COMPUTED_VALUE"""),515)</f>
        <v>515</v>
      </c>
      <c r="D74" s="82" t="n">
        <f aca="false">IFERROR(__xludf.dummyfunction("""COMPUTED_VALUE"""),0.375692307692308)</f>
        <v>0.375692307692308</v>
      </c>
      <c r="E74" s="77" t="n">
        <f aca="false">IFERROR(__xludf.dummyfunction("""COMPUTED_VALUE"""),7860000000)</f>
        <v>7860000000</v>
      </c>
      <c r="F74" s="77" t="n">
        <f aca="false">IFERROR(__xludf.dummyfunction("""COMPUTED_VALUE"""),61400000)</f>
        <v>61400000</v>
      </c>
      <c r="G74" s="81" t="n">
        <f aca="false">IFERROR(__xludf.dummyfunction("""COMPUTED_VALUE"""),0)</f>
        <v>0</v>
      </c>
      <c r="H74" s="81" t="n">
        <f aca="false">IFERROR(__xludf.dummyfunction("""COMPUTED_VALUE"""),36000000)</f>
        <v>36000000</v>
      </c>
      <c r="I74" s="77" t="n">
        <f aca="false">IFERROR(__xludf.dummyfunction("""COMPUTED_VALUE"""),1)</f>
        <v>1</v>
      </c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</row>
    <row r="75" customFormat="false" ht="15.75" hidden="false" customHeight="true" outlineLevel="0" collapsed="false">
      <c r="A75" s="51" t="s">
        <v>1547</v>
      </c>
      <c r="B75" s="79" t="str">
        <f aca="false">IFERROR(__xludf.dummyfunction("""COMPUTED_VALUE"""),"Bald cypress")</f>
        <v>Bald cypress</v>
      </c>
      <c r="C75" s="80" t="n">
        <f aca="false">IFERROR(__xludf.dummyfunction("""COMPUTED_VALUE"""),515)</f>
        <v>515</v>
      </c>
      <c r="D75" s="82" t="n">
        <f aca="false">IFERROR(__xludf.dummyfunction("""COMPUTED_VALUE"""),0.375692307692308)</f>
        <v>0.375692307692308</v>
      </c>
      <c r="E75" s="77" t="n">
        <f aca="false">IFERROR(__xludf.dummyfunction("""COMPUTED_VALUE"""),9930000000)</f>
        <v>9930000000</v>
      </c>
      <c r="F75" s="77" t="n">
        <f aca="false">IFERROR(__xludf.dummyfunction("""COMPUTED_VALUE"""),73100000)</f>
        <v>73100000</v>
      </c>
      <c r="G75" s="81" t="n">
        <f aca="false">IFERROR(__xludf.dummyfunction("""COMPUTED_VALUE"""),0)</f>
        <v>0</v>
      </c>
      <c r="H75" s="81" t="n">
        <f aca="false">IFERROR(__xludf.dummyfunction("""COMPUTED_VALUE"""),43900000)</f>
        <v>43900000</v>
      </c>
      <c r="I75" s="77" t="n">
        <f aca="false">IFERROR(__xludf.dummyfunction("""COMPUTED_VALUE"""),1)</f>
        <v>1</v>
      </c>
      <c r="J75" s="81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</row>
    <row r="76" customFormat="false" ht="15.75" hidden="false" customHeight="true" outlineLevel="0" collapsed="false">
      <c r="A76" s="51" t="s">
        <v>1547</v>
      </c>
      <c r="B76" s="79" t="str">
        <f aca="false">IFERROR(__xludf.dummyfunction("""COMPUTED_VALUE"""),"Radiata Pine")</f>
        <v>Radiata Pine</v>
      </c>
      <c r="C76" s="83" t="n">
        <f aca="false">IFERROR(__xludf.dummyfunction("""COMPUTED_VALUE"""),515)</f>
        <v>515</v>
      </c>
      <c r="D76" s="82" t="n">
        <f aca="false">IFERROR(__xludf.dummyfunction("""COMPUTED_VALUE"""),0.375692307692308)</f>
        <v>0.375692307692308</v>
      </c>
      <c r="E76" s="77" t="n">
        <f aca="false">IFERROR(__xludf.dummyfunction("""COMPUTED_VALUE"""),10060000000)</f>
        <v>10060000000</v>
      </c>
      <c r="F76" s="77" t="n">
        <f aca="false">IFERROR(__xludf.dummyfunction("""COMPUTED_VALUE"""),79200000)</f>
        <v>79200000</v>
      </c>
      <c r="G76" s="81" t="n">
        <f aca="false">IFERROR(__xludf.dummyfunction("""COMPUTED_VALUE"""),0)</f>
        <v>0</v>
      </c>
      <c r="H76" s="81" t="n">
        <f aca="false">IFERROR(__xludf.dummyfunction("""COMPUTED_VALUE"""),41600000)</f>
        <v>41600000</v>
      </c>
      <c r="I76" s="77" t="n">
        <f aca="false">IFERROR(__xludf.dummyfunction("""COMPUTED_VALUE"""),1)</f>
        <v>1</v>
      </c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</row>
    <row r="77" customFormat="false" ht="15.75" hidden="false" customHeight="true" outlineLevel="0" collapsed="false">
      <c r="A77" s="51" t="s">
        <v>1547</v>
      </c>
      <c r="B77" s="79" t="str">
        <f aca="false">IFERROR(__xludf.dummyfunction("""COMPUTED_VALUE"""),"Cedar of Lebanon")</f>
        <v>Cedar of Lebanon</v>
      </c>
      <c r="C77" s="83" t="n">
        <f aca="false">IFERROR(__xludf.dummyfunction("""COMPUTED_VALUE"""),520)</f>
        <v>520</v>
      </c>
      <c r="D77" s="82" t="n">
        <f aca="false">IFERROR(__xludf.dummyfunction("""COMPUTED_VALUE"""),0.375692307692308)</f>
        <v>0.375692307692308</v>
      </c>
      <c r="E77" s="77" t="n">
        <f aca="false">IFERROR(__xludf.dummyfunction("""COMPUTED_VALUE"""),10100000000)</f>
        <v>10100000000</v>
      </c>
      <c r="F77" s="77" t="n">
        <f aca="false">IFERROR(__xludf.dummyfunction("""COMPUTED_VALUE"""),82000000)</f>
        <v>82000000</v>
      </c>
      <c r="G77" s="81" t="n">
        <f aca="false">IFERROR(__xludf.dummyfunction("""COMPUTED_VALUE"""),0)</f>
        <v>0</v>
      </c>
      <c r="H77" s="81" t="n">
        <f aca="false">IFERROR(__xludf.dummyfunction("""COMPUTED_VALUE"""),42000000)</f>
        <v>42000000</v>
      </c>
      <c r="I77" s="77" t="n">
        <f aca="false">IFERROR(__xludf.dummyfunction("""COMPUTED_VALUE"""),1)</f>
        <v>1</v>
      </c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</row>
    <row r="78" customFormat="false" ht="15.75" hidden="false" customHeight="true" outlineLevel="0" collapsed="false">
      <c r="A78" s="51" t="s">
        <v>1547</v>
      </c>
      <c r="B78" s="79" t="str">
        <f aca="false">IFERROR(__xludf.dummyfunction("""COMPUTED_VALUE"""),"East Indian kauri")</f>
        <v>East Indian kauri</v>
      </c>
      <c r="C78" s="80" t="n">
        <f aca="false">IFERROR(__xludf.dummyfunction("""COMPUTED_VALUE"""),520)</f>
        <v>520</v>
      </c>
      <c r="D78" s="82" t="n">
        <f aca="false">IFERROR(__xludf.dummyfunction("""COMPUTED_VALUE"""),0.375692307692308)</f>
        <v>0.375692307692308</v>
      </c>
      <c r="E78" s="77" t="n">
        <f aca="false">IFERROR(__xludf.dummyfunction("""COMPUTED_VALUE"""),9300000000)</f>
        <v>9300000000</v>
      </c>
      <c r="F78" s="77" t="n">
        <f aca="false">IFERROR(__xludf.dummyfunction("""COMPUTED_VALUE"""),67000000)</f>
        <v>67000000</v>
      </c>
      <c r="G78" s="81" t="n">
        <f aca="false">IFERROR(__xludf.dummyfunction("""COMPUTED_VALUE"""),0)</f>
        <v>0</v>
      </c>
      <c r="H78" s="81" t="n">
        <f aca="false">IFERROR(__xludf.dummyfunction("""COMPUTED_VALUE"""),43000000)</f>
        <v>43000000</v>
      </c>
      <c r="I78" s="77" t="n">
        <f aca="false">IFERROR(__xludf.dummyfunction("""COMPUTED_VALUE"""),1)</f>
        <v>1</v>
      </c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</row>
    <row r="79" customFormat="false" ht="15.75" hidden="false" customHeight="true" outlineLevel="0" collapsed="false">
      <c r="A79" s="51" t="s">
        <v>1547</v>
      </c>
      <c r="B79" s="79" t="str">
        <f aca="false">IFERROR(__xludf.dummyfunction("""COMPUTED_VALUE"""),"Spruce Pine")</f>
        <v>Spruce Pine</v>
      </c>
      <c r="C79" s="80" t="n">
        <f aca="false">IFERROR(__xludf.dummyfunction("""COMPUTED_VALUE"""),525)</f>
        <v>525</v>
      </c>
      <c r="D79" s="82" t="n">
        <f aca="false">IFERROR(__xludf.dummyfunction("""COMPUTED_VALUE"""),0.375692307692308)</f>
        <v>0.375692307692308</v>
      </c>
      <c r="E79" s="77" t="n">
        <f aca="false">IFERROR(__xludf.dummyfunction("""COMPUTED_VALUE"""),9690000000)</f>
        <v>9690000000</v>
      </c>
      <c r="F79" s="77" t="n">
        <f aca="false">IFERROR(__xludf.dummyfunction("""COMPUTED_VALUE"""),71000000)</f>
        <v>71000000</v>
      </c>
      <c r="G79" s="81" t="n">
        <f aca="false">IFERROR(__xludf.dummyfunction("""COMPUTED_VALUE"""),0)</f>
        <v>0</v>
      </c>
      <c r="H79" s="81" t="n">
        <f aca="false">IFERROR(__xludf.dummyfunction("""COMPUTED_VALUE"""),39000000)</f>
        <v>39000000</v>
      </c>
      <c r="I79" s="77" t="n">
        <f aca="false">IFERROR(__xludf.dummyfunction("""COMPUTED_VALUE"""),1)</f>
        <v>1</v>
      </c>
      <c r="J79" s="81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</row>
    <row r="80" customFormat="false" ht="15.75" hidden="false" customHeight="true" outlineLevel="0" collapsed="false">
      <c r="A80" s="51" t="s">
        <v>1547</v>
      </c>
      <c r="B80" s="79" t="str">
        <f aca="false">IFERROR(__xludf.dummyfunction("""COMPUTED_VALUE"""),"Subalpine Fir")</f>
        <v>Subalpine Fir</v>
      </c>
      <c r="C80" s="80" t="n">
        <f aca="false">IFERROR(__xludf.dummyfunction("""COMPUTED_VALUE"""),530)</f>
        <v>530</v>
      </c>
      <c r="D80" s="82" t="n">
        <f aca="false">IFERROR(__xludf.dummyfunction("""COMPUTED_VALUE"""),0.341)</f>
        <v>0.341</v>
      </c>
      <c r="E80" s="77" t="n">
        <f aca="false">IFERROR(__xludf.dummyfunction("""COMPUTED_VALUE"""),9130000000)</f>
        <v>9130000000</v>
      </c>
      <c r="F80" s="77" t="n">
        <f aca="false">IFERROR(__xludf.dummyfunction("""COMPUTED_VALUE"""),58000000)</f>
        <v>58000000</v>
      </c>
      <c r="G80" s="81" t="n">
        <f aca="false">IFERROR(__xludf.dummyfunction("""COMPUTED_VALUE"""),0)</f>
        <v>0</v>
      </c>
      <c r="H80" s="81" t="n">
        <f aca="false">IFERROR(__xludf.dummyfunction("""COMPUTED_VALUE"""),33900000)</f>
        <v>33900000</v>
      </c>
      <c r="I80" s="77" t="n">
        <f aca="false">IFERROR(__xludf.dummyfunction("""COMPUTED_VALUE"""),1)</f>
        <v>1</v>
      </c>
      <c r="J80" s="81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</row>
    <row r="81" customFormat="false" ht="15.75" hidden="false" customHeight="true" outlineLevel="0" collapsed="false">
      <c r="A81" s="51" t="s">
        <v>1547</v>
      </c>
      <c r="B81" s="79" t="str">
        <f aca="false">IFERROR(__xludf.dummyfunction("""COMPUTED_VALUE"""),"Cucumbertree")</f>
        <v>Cucumbertree</v>
      </c>
      <c r="C81" s="80" t="n">
        <f aca="false">IFERROR(__xludf.dummyfunction("""COMPUTED_VALUE"""),530)</f>
        <v>530</v>
      </c>
      <c r="D81" s="82" t="n">
        <f aca="false">IFERROR(__xludf.dummyfunction("""COMPUTED_VALUE"""),0.341)</f>
        <v>0.341</v>
      </c>
      <c r="E81" s="77" t="n">
        <f aca="false">IFERROR(__xludf.dummyfunction("""COMPUTED_VALUE"""),12550000000)</f>
        <v>12550000000</v>
      </c>
      <c r="F81" s="77" t="n">
        <f aca="false">IFERROR(__xludf.dummyfunction("""COMPUTED_VALUE"""),84800000)</f>
        <v>84800000</v>
      </c>
      <c r="G81" s="81" t="n">
        <f aca="false">IFERROR(__xludf.dummyfunction("""COMPUTED_VALUE"""),0)</f>
        <v>0</v>
      </c>
      <c r="H81" s="81" t="n">
        <f aca="false">IFERROR(__xludf.dummyfunction("""COMPUTED_VALUE"""),43500000)</f>
        <v>43500000</v>
      </c>
      <c r="I81" s="77" t="n">
        <f aca="false">IFERROR(__xludf.dummyfunction("""COMPUTED_VALUE"""),1)</f>
        <v>1</v>
      </c>
      <c r="J81" s="81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</row>
    <row r="82" customFormat="false" ht="15.75" hidden="false" customHeight="true" outlineLevel="0" collapsed="false">
      <c r="A82" s="51" t="s">
        <v>1547</v>
      </c>
      <c r="B82" s="79" t="str">
        <f aca="false">IFERROR(__xludf.dummyfunction("""COMPUTED_VALUE"""),"Silver Maple (US ""soft"")")</f>
        <v>Silver Maple (US "soft")</v>
      </c>
      <c r="C82" s="80" t="n">
        <f aca="false">IFERROR(__xludf.dummyfunction("""COMPUTED_VALUE"""),530)</f>
        <v>530</v>
      </c>
      <c r="D82" s="82" t="n">
        <f aca="false">IFERROR(__xludf.dummyfunction("""COMPUTED_VALUE"""),0.375692307692308)</f>
        <v>0.375692307692308</v>
      </c>
      <c r="E82" s="77" t="n">
        <f aca="false">IFERROR(__xludf.dummyfunction("""COMPUTED_VALUE"""),7860000000)</f>
        <v>7860000000</v>
      </c>
      <c r="F82" s="77" t="n">
        <f aca="false">IFERROR(__xludf.dummyfunction("""COMPUTED_VALUE"""),61400000)</f>
        <v>61400000</v>
      </c>
      <c r="G82" s="81" t="n">
        <f aca="false">IFERROR(__xludf.dummyfunction("""COMPUTED_VALUE"""),0)</f>
        <v>0</v>
      </c>
      <c r="H82" s="81" t="n">
        <f aca="false">IFERROR(__xludf.dummyfunction("""COMPUTED_VALUE"""),36000000)</f>
        <v>36000000</v>
      </c>
      <c r="I82" s="77" t="n">
        <f aca="false">IFERROR(__xludf.dummyfunction("""COMPUTED_VALUE"""),1)</f>
        <v>1</v>
      </c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</row>
    <row r="83" customFormat="false" ht="15.75" hidden="false" customHeight="true" outlineLevel="0" collapsed="false">
      <c r="A83" s="51" t="s">
        <v>1547</v>
      </c>
      <c r="B83" s="79" t="str">
        <f aca="false">IFERROR(__xludf.dummyfunction("""COMPUTED_VALUE"""),"Atlas Cedar")</f>
        <v>Atlas Cedar</v>
      </c>
      <c r="C83" s="80" t="n">
        <f aca="false">IFERROR(__xludf.dummyfunction("""COMPUTED_VALUE"""),530)</f>
        <v>530</v>
      </c>
      <c r="D83" s="82" t="n">
        <f aca="false">IFERROR(__xludf.dummyfunction("""COMPUTED_VALUE"""),0.375692307692308)</f>
        <v>0.375692307692308</v>
      </c>
      <c r="E83" s="77" t="n">
        <f aca="false">IFERROR(__xludf.dummyfunction("""COMPUTED_VALUE"""),9780000000)</f>
        <v>9780000000</v>
      </c>
      <c r="F83" s="77" t="n">
        <f aca="false">IFERROR(__xludf.dummyfunction("""COMPUTED_VALUE"""),87200000)</f>
        <v>87200000</v>
      </c>
      <c r="G83" s="81" t="n">
        <f aca="false">IFERROR(__xludf.dummyfunction("""COMPUTED_VALUE"""),0)</f>
        <v>0</v>
      </c>
      <c r="H83" s="81" t="n">
        <f aca="false">IFERROR(__xludf.dummyfunction("""COMPUTED_VALUE"""),45400000)</f>
        <v>45400000</v>
      </c>
      <c r="I83" s="77" t="n">
        <f aca="false">IFERROR(__xludf.dummyfunction("""COMPUTED_VALUE"""),1)</f>
        <v>1</v>
      </c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</row>
    <row r="84" customFormat="false" ht="15.75" hidden="false" customHeight="true" outlineLevel="0" collapsed="false">
      <c r="A84" s="51" t="s">
        <v>1547</v>
      </c>
      <c r="B84" s="79" t="str">
        <f aca="false">IFERROR(__xludf.dummyfunction("""COMPUTED_VALUE"""),"Eastern Red Cedar")</f>
        <v>Eastern Red Cedar</v>
      </c>
      <c r="C84" s="80" t="n">
        <f aca="false">IFERROR(__xludf.dummyfunction("""COMPUTED_VALUE"""),530)</f>
        <v>530</v>
      </c>
      <c r="D84" s="82" t="n">
        <f aca="false">IFERROR(__xludf.dummyfunction("""COMPUTED_VALUE"""),0.375692307692308)</f>
        <v>0.375692307692308</v>
      </c>
      <c r="E84" s="77" t="n">
        <f aca="false">IFERROR(__xludf.dummyfunction("""COMPUTED_VALUE"""),6070000000)</f>
        <v>6070000000</v>
      </c>
      <c r="F84" s="77" t="n">
        <f aca="false">IFERROR(__xludf.dummyfunction("""COMPUTED_VALUE"""),60700000)</f>
        <v>60700000</v>
      </c>
      <c r="G84" s="81" t="n">
        <f aca="false">IFERROR(__xludf.dummyfunction("""COMPUTED_VALUE"""),0)</f>
        <v>0</v>
      </c>
      <c r="H84" s="81" t="n">
        <f aca="false">IFERROR(__xludf.dummyfunction("""COMPUTED_VALUE"""),41500000)</f>
        <v>41500000</v>
      </c>
      <c r="I84" s="77" t="n">
        <f aca="false">IFERROR(__xludf.dummyfunction("""COMPUTED_VALUE"""),1)</f>
        <v>1</v>
      </c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</row>
    <row r="85" customFormat="false" ht="15.75" hidden="false" customHeight="true" outlineLevel="0" collapsed="false">
      <c r="A85" s="51" t="s">
        <v>1547</v>
      </c>
      <c r="B85" s="79" t="str">
        <f aca="false">IFERROR(__xludf.dummyfunction("""COMPUTED_VALUE"""),"End Tops ⬆")</f>
        <v>End Tops ⬆</v>
      </c>
      <c r="C85" s="80"/>
      <c r="D85" s="82"/>
      <c r="E85" s="77"/>
      <c r="F85" s="77"/>
      <c r="G85" s="81" t="n">
        <f aca="false">IFERROR(__xludf.dummyfunction("""COMPUTED_VALUE"""),0)</f>
        <v>0</v>
      </c>
      <c r="H85" s="81"/>
      <c r="I85" s="77" t="n">
        <f aca="false">IFERROR(__xludf.dummyfunction("""COMPUTED_VALUE"""),1)</f>
        <v>1</v>
      </c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</row>
    <row r="86" customFormat="false" ht="15.75" hidden="false" customHeight="true" outlineLevel="0" collapsed="false">
      <c r="A86" s="51" t="s">
        <v>1547</v>
      </c>
      <c r="B86" s="79" t="str">
        <f aca="false">IFERROR(__xludf.dummyfunction("""COMPUTED_VALUE"""),"European Alder (Black Alder)")</f>
        <v>European Alder (Black Alder)</v>
      </c>
      <c r="C86" s="83" t="n">
        <f aca="false">IFERROR(__xludf.dummyfunction("""COMPUTED_VALUE"""),535)</f>
        <v>535</v>
      </c>
      <c r="D86" s="82" t="n">
        <f aca="false">IFERROR(__xludf.dummyfunction("""COMPUTED_VALUE"""),0.375692307692308)</f>
        <v>0.375692307692308</v>
      </c>
      <c r="E86" s="77" t="n">
        <f aca="false">IFERROR(__xludf.dummyfunction("""COMPUTED_VALUE"""),11010000000)</f>
        <v>11010000000</v>
      </c>
      <c r="F86" s="77" t="n">
        <f aca="false">IFERROR(__xludf.dummyfunction("""COMPUTED_VALUE"""),91400000)</f>
        <v>91400000</v>
      </c>
      <c r="G86" s="81" t="n">
        <f aca="false">IFERROR(__xludf.dummyfunction("""COMPUTED_VALUE"""),0)</f>
        <v>0</v>
      </c>
      <c r="H86" s="81" t="n">
        <f aca="false">IFERROR(__xludf.dummyfunction("""COMPUTED_VALUE"""),39800000)</f>
        <v>39800000</v>
      </c>
      <c r="I86" s="77" t="n">
        <f aca="false">IFERROR(__xludf.dummyfunction("""COMPUTED_VALUE"""),1)</f>
        <v>1</v>
      </c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</row>
    <row r="87" customFormat="false" ht="15.75" hidden="false" customHeight="true" outlineLevel="0" collapsed="false">
      <c r="A87" s="51" t="s">
        <v>1547</v>
      </c>
      <c r="B87" s="79" t="str">
        <f aca="false">IFERROR(__xludf.dummyfunction("""COMPUTED_VALUE"""),"European Lime (Linden)")</f>
        <v>European Lime (Linden)</v>
      </c>
      <c r="C87" s="80" t="n">
        <f aca="false">IFERROR(__xludf.dummyfunction("""COMPUTED_VALUE"""),535)</f>
        <v>535</v>
      </c>
      <c r="D87" s="82" t="n">
        <f aca="false">IFERROR(__xludf.dummyfunction("""COMPUTED_VALUE"""),0.375692307692308)</f>
        <v>0.375692307692308</v>
      </c>
      <c r="E87" s="77" t="n">
        <f aca="false">IFERROR(__xludf.dummyfunction("""COMPUTED_VALUE"""),11710000000)</f>
        <v>11710000000</v>
      </c>
      <c r="F87" s="77" t="n">
        <f aca="false">IFERROR(__xludf.dummyfunction("""COMPUTED_VALUE"""),85400000)</f>
        <v>85400000</v>
      </c>
      <c r="G87" s="81" t="n">
        <f aca="false">IFERROR(__xludf.dummyfunction("""COMPUTED_VALUE"""),0)</f>
        <v>0</v>
      </c>
      <c r="H87" s="81" t="n">
        <f aca="false">IFERROR(__xludf.dummyfunction("""COMPUTED_VALUE"""),44800000)</f>
        <v>44800000</v>
      </c>
      <c r="I87" s="77" t="n">
        <f aca="false">IFERROR(__xludf.dummyfunction("""COMPUTED_VALUE"""),1)</f>
        <v>1</v>
      </c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</row>
    <row r="88" customFormat="false" ht="15.75" hidden="false" customHeight="true" outlineLevel="0" collapsed="false">
      <c r="A88" s="51" t="s">
        <v>1547</v>
      </c>
      <c r="B88" s="79" t="str">
        <f aca="false">IFERROR(__xludf.dummyfunction("""COMPUTED_VALUE"""),"Mediterranean Cypress")</f>
        <v>Mediterranean Cypress</v>
      </c>
      <c r="C88" s="80" t="n">
        <f aca="false">IFERROR(__xludf.dummyfunction("""COMPUTED_VALUE"""),535)</f>
        <v>535</v>
      </c>
      <c r="D88" s="82" t="n">
        <f aca="false">IFERROR(__xludf.dummyfunction("""COMPUTED_VALUE"""),0.375692307692308)</f>
        <v>0.375692307692308</v>
      </c>
      <c r="E88" s="77" t="n">
        <f aca="false">IFERROR(__xludf.dummyfunction("""COMPUTED_VALUE"""),5280000000)</f>
        <v>5280000000</v>
      </c>
      <c r="F88" s="77" t="n">
        <f aca="false">IFERROR(__xludf.dummyfunction("""COMPUTED_VALUE"""),44600000)</f>
        <v>44600000</v>
      </c>
      <c r="G88" s="81" t="n">
        <f aca="false">IFERROR(__xludf.dummyfunction("""COMPUTED_VALUE"""),0)</f>
        <v>0</v>
      </c>
      <c r="H88" s="81"/>
      <c r="I88" s="77" t="n">
        <f aca="false">IFERROR(__xludf.dummyfunction("""COMPUTED_VALUE"""),1)</f>
        <v>1</v>
      </c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</row>
    <row r="89" customFormat="false" ht="15.75" hidden="false" customHeight="true" outlineLevel="0" collapsed="false">
      <c r="A89" s="51" t="s">
        <v>1547</v>
      </c>
      <c r="B89" s="79" t="str">
        <f aca="false">IFERROR(__xludf.dummyfunction("""COMPUTED_VALUE"""),"Kauri (Agathis)")</f>
        <v>Kauri (Agathis)</v>
      </c>
      <c r="C89" s="80" t="n">
        <f aca="false">IFERROR(__xludf.dummyfunction("""COMPUTED_VALUE"""),540)</f>
        <v>540</v>
      </c>
      <c r="D89" s="82" t="n">
        <f aca="false">IFERROR(__xludf.dummyfunction("""COMPUTED_VALUE"""),0.375692307692308)</f>
        <v>0.375692307692308</v>
      </c>
      <c r="E89" s="77" t="n">
        <f aca="false">IFERROR(__xludf.dummyfunction("""COMPUTED_VALUE"""),11870000000)</f>
        <v>11870000000</v>
      </c>
      <c r="F89" s="77" t="n">
        <f aca="false">IFERROR(__xludf.dummyfunction("""COMPUTED_VALUE"""),86600000)</f>
        <v>86600000</v>
      </c>
      <c r="G89" s="81" t="n">
        <f aca="false">IFERROR(__xludf.dummyfunction("""COMPUTED_VALUE"""),0)</f>
        <v>0</v>
      </c>
      <c r="H89" s="81" t="n">
        <f aca="false">IFERROR(__xludf.dummyfunction("""COMPUTED_VALUE"""),42300000)</f>
        <v>42300000</v>
      </c>
      <c r="I89" s="77" t="n">
        <f aca="false">IFERROR(__xludf.dummyfunction("""COMPUTED_VALUE"""),1)</f>
        <v>1</v>
      </c>
      <c r="J89" s="81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</row>
    <row r="90" customFormat="false" ht="15.75" hidden="false" customHeight="true" outlineLevel="0" collapsed="false">
      <c r="A90" s="51" t="s">
        <v>1547</v>
      </c>
      <c r="B90" s="79" t="str">
        <f aca="false">IFERROR(__xludf.dummyfunction("""COMPUTED_VALUE"""),"Sweetbay (Swamp Magnolia)")</f>
        <v>Sweetbay (Swamp Magnolia)</v>
      </c>
      <c r="C90" s="80" t="n">
        <f aca="false">IFERROR(__xludf.dummyfunction("""COMPUTED_VALUE"""),545)</f>
        <v>545</v>
      </c>
      <c r="D90" s="82" t="n">
        <f aca="false">IFERROR(__xludf.dummyfunction("""COMPUTED_VALUE"""),0.375692307692308)</f>
        <v>0.375692307692308</v>
      </c>
      <c r="E90" s="77" t="n">
        <f aca="false">IFERROR(__xludf.dummyfunction("""COMPUTED_VALUE"""),11310000000)</f>
        <v>11310000000</v>
      </c>
      <c r="F90" s="77" t="n">
        <f aca="false">IFERROR(__xludf.dummyfunction("""COMPUTED_VALUE"""),75200000)</f>
        <v>75200000</v>
      </c>
      <c r="G90" s="81" t="n">
        <f aca="false">IFERROR(__xludf.dummyfunction("""COMPUTED_VALUE"""),0)</f>
        <v>0</v>
      </c>
      <c r="H90" s="81" t="n">
        <f aca="false">IFERROR(__xludf.dummyfunction("""COMPUTED_VALUE"""),39200000)</f>
        <v>39200000</v>
      </c>
      <c r="I90" s="77" t="n">
        <f aca="false">IFERROR(__xludf.dummyfunction("""COMPUTED_VALUE"""),1)</f>
        <v>1</v>
      </c>
      <c r="J90" s="81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</row>
    <row r="91" customFormat="false" ht="15.75" hidden="false" customHeight="true" outlineLevel="0" collapsed="false">
      <c r="A91" s="51" t="s">
        <v>1547</v>
      </c>
      <c r="B91" s="79" t="str">
        <f aca="false">IFERROR(__xludf.dummyfunction("""COMPUTED_VALUE"""),"Sweetgum (Red gum)")</f>
        <v>Sweetgum (Red gum)</v>
      </c>
      <c r="C91" s="80" t="n">
        <f aca="false">IFERROR(__xludf.dummyfunction("""COMPUTED_VALUE"""),545)</f>
        <v>545</v>
      </c>
      <c r="D91" s="82" t="n">
        <f aca="false">IFERROR(__xludf.dummyfunction("""COMPUTED_VALUE"""),0.325)</f>
        <v>0.325</v>
      </c>
      <c r="E91" s="77" t="n">
        <f aca="false">IFERROR(__xludf.dummyfunction("""COMPUTED_VALUE"""),11310000000)</f>
        <v>11310000000</v>
      </c>
      <c r="F91" s="77" t="n">
        <f aca="false">IFERROR(__xludf.dummyfunction("""COMPUTED_VALUE"""),86200000)</f>
        <v>86200000</v>
      </c>
      <c r="G91" s="81" t="n">
        <f aca="false">IFERROR(__xludf.dummyfunction("""COMPUTED_VALUE"""),0)</f>
        <v>0</v>
      </c>
      <c r="H91" s="81" t="n">
        <f aca="false">IFERROR(__xludf.dummyfunction("""COMPUTED_VALUE"""),43600000)</f>
        <v>43600000</v>
      </c>
      <c r="I91" s="77" t="n">
        <f aca="false">IFERROR(__xludf.dummyfunction("""COMPUTED_VALUE"""),1)</f>
        <v>1</v>
      </c>
      <c r="J91" s="81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</row>
    <row r="92" customFormat="false" ht="15.75" hidden="false" customHeight="true" outlineLevel="0" collapsed="false">
      <c r="A92" s="51" t="s">
        <v>1547</v>
      </c>
      <c r="B92" s="79" t="str">
        <f aca="false">IFERROR(__xludf.dummyfunction("""COMPUTED_VALUE"""),"Black Ash")</f>
        <v>Black Ash</v>
      </c>
      <c r="C92" s="80" t="n">
        <f aca="false">IFERROR(__xludf.dummyfunction("""COMPUTED_VALUE"""),545)</f>
        <v>545</v>
      </c>
      <c r="D92" s="82" t="n">
        <f aca="false">IFERROR(__xludf.dummyfunction("""COMPUTED_VALUE"""),0.375692307692308)</f>
        <v>0.375692307692308</v>
      </c>
      <c r="E92" s="77" t="n">
        <f aca="false">IFERROR(__xludf.dummyfunction("""COMPUTED_VALUE"""),11000000000)</f>
        <v>11000000000</v>
      </c>
      <c r="F92" s="77" t="n">
        <f aca="false">IFERROR(__xludf.dummyfunction("""COMPUTED_VALUE"""),86900000)</f>
        <v>86900000</v>
      </c>
      <c r="G92" s="81" t="n">
        <f aca="false">IFERROR(__xludf.dummyfunction("""COMPUTED_VALUE"""),0)</f>
        <v>0</v>
      </c>
      <c r="H92" s="81" t="n">
        <f aca="false">IFERROR(__xludf.dummyfunction("""COMPUTED_VALUE"""),41200000)</f>
        <v>41200000</v>
      </c>
      <c r="I92" s="77" t="n">
        <f aca="false">IFERROR(__xludf.dummyfunction("""COMPUTED_VALUE"""),1)</f>
        <v>1</v>
      </c>
      <c r="J92" s="81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</row>
    <row r="93" customFormat="false" ht="15.75" hidden="false" customHeight="true" outlineLevel="0" collapsed="false">
      <c r="A93" s="51" t="s">
        <v>1547</v>
      </c>
      <c r="B93" s="79" t="str">
        <f aca="false">IFERROR(__xludf.dummyfunction("""COMPUTED_VALUE"""),"Bigleaf Maple (quilted, curly)")</f>
        <v>Bigleaf Maple (quilted, curly)</v>
      </c>
      <c r="C93" s="83" t="n">
        <f aca="false">IFERROR(__xludf.dummyfunction("""COMPUTED_VALUE"""),545)</f>
        <v>545</v>
      </c>
      <c r="D93" s="82" t="n">
        <f aca="false">IFERROR(__xludf.dummyfunction("""COMPUTED_VALUE"""),0.375692307692308)</f>
        <v>0.375692307692308</v>
      </c>
      <c r="E93" s="77" t="n">
        <f aca="false">IFERROR(__xludf.dummyfunction("""COMPUTED_VALUE"""),10000000000)</f>
        <v>10000000000</v>
      </c>
      <c r="F93" s="77" t="n">
        <f aca="false">IFERROR(__xludf.dummyfunction("""COMPUTED_VALUE"""),73800000)</f>
        <v>73800000</v>
      </c>
      <c r="G93" s="81" t="n">
        <f aca="false">IFERROR(__xludf.dummyfunction("""COMPUTED_VALUE"""),0)</f>
        <v>0</v>
      </c>
      <c r="H93" s="81" t="n">
        <f aca="false">IFERROR(__xludf.dummyfunction("""COMPUTED_VALUE"""),41000000)</f>
        <v>41000000</v>
      </c>
      <c r="I93" s="77" t="n">
        <f aca="false">IFERROR(__xludf.dummyfunction("""COMPUTED_VALUE"""),1)</f>
        <v>1</v>
      </c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</row>
    <row r="94" customFormat="false" ht="15.75" hidden="false" customHeight="true" outlineLevel="0" collapsed="false">
      <c r="A94" s="51" t="s">
        <v>1547</v>
      </c>
      <c r="B94" s="79" t="str">
        <f aca="false">IFERROR(__xludf.dummyfunction("""COMPUTED_VALUE"""),"American Sycamore")</f>
        <v>American Sycamore</v>
      </c>
      <c r="C94" s="80" t="n">
        <f aca="false">IFERROR(__xludf.dummyfunction("""COMPUTED_VALUE"""),545)</f>
        <v>545</v>
      </c>
      <c r="D94" s="82" t="n">
        <f aca="false">IFERROR(__xludf.dummyfunction("""COMPUTED_VALUE"""),0.375692307692308)</f>
        <v>0.375692307692308</v>
      </c>
      <c r="E94" s="77" t="n">
        <f aca="false">IFERROR(__xludf.dummyfunction("""COMPUTED_VALUE"""),9790000000)</f>
        <v>9790000000</v>
      </c>
      <c r="F94" s="77" t="n">
        <f aca="false">IFERROR(__xludf.dummyfunction("""COMPUTED_VALUE"""),69000000)</f>
        <v>69000000</v>
      </c>
      <c r="G94" s="81" t="n">
        <f aca="false">IFERROR(__xludf.dummyfunction("""COMPUTED_VALUE"""),0)</f>
        <v>0</v>
      </c>
      <c r="H94" s="81" t="n">
        <f aca="false">IFERROR(__xludf.dummyfunction("""COMPUTED_VALUE"""),37100000)</f>
        <v>37100000</v>
      </c>
      <c r="I94" s="77" t="n">
        <f aca="false">IFERROR(__xludf.dummyfunction("""COMPUTED_VALUE"""),1)</f>
        <v>1</v>
      </c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</row>
    <row r="95" customFormat="false" ht="15.75" hidden="false" customHeight="true" outlineLevel="0" collapsed="false">
      <c r="A95" s="51" t="s">
        <v>1547</v>
      </c>
      <c r="B95" s="79" t="str">
        <f aca="false">IFERROR(__xludf.dummyfunction("""COMPUTED_VALUE"""),"Black Tupelo")</f>
        <v>Black Tupelo</v>
      </c>
      <c r="C95" s="80" t="n">
        <f aca="false">IFERROR(__xludf.dummyfunction("""COMPUTED_VALUE"""),545)</f>
        <v>545</v>
      </c>
      <c r="D95" s="82" t="n">
        <f aca="false">IFERROR(__xludf.dummyfunction("""COMPUTED_VALUE"""),0.375692307692308)</f>
        <v>0.375692307692308</v>
      </c>
      <c r="E95" s="77" t="n">
        <f aca="false">IFERROR(__xludf.dummyfunction("""COMPUTED_VALUE"""),8190000000)</f>
        <v>8190000000</v>
      </c>
      <c r="F95" s="77" t="n">
        <f aca="false">IFERROR(__xludf.dummyfunction("""COMPUTED_VALUE"""),65500000)</f>
        <v>65500000</v>
      </c>
      <c r="G95" s="81" t="n">
        <f aca="false">IFERROR(__xludf.dummyfunction("""COMPUTED_VALUE"""),0)</f>
        <v>0</v>
      </c>
      <c r="H95" s="81" t="n">
        <f aca="false">IFERROR(__xludf.dummyfunction("""COMPUTED_VALUE"""),37700000)</f>
        <v>37700000</v>
      </c>
      <c r="I95" s="77" t="n">
        <f aca="false">IFERROR(__xludf.dummyfunction("""COMPUTED_VALUE"""),1)</f>
        <v>1</v>
      </c>
      <c r="J95" s="81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</row>
    <row r="96" customFormat="false" ht="15.75" hidden="false" customHeight="true" outlineLevel="0" collapsed="false">
      <c r="A96" s="51" t="s">
        <v>1547</v>
      </c>
      <c r="B96" s="79" t="str">
        <f aca="false">IFERROR(__xludf.dummyfunction("""COMPUTED_VALUE"""),"African Mahogany (Khaya)")</f>
        <v>African Mahogany (Khaya)</v>
      </c>
      <c r="C96" s="80" t="n">
        <f aca="false">IFERROR(__xludf.dummyfunction("""COMPUTED_VALUE"""),545)</f>
        <v>545</v>
      </c>
      <c r="D96" s="82" t="n">
        <f aca="false">IFERROR(__xludf.dummyfunction("""COMPUTED_VALUE"""),0.297)</f>
        <v>0.297</v>
      </c>
      <c r="E96" s="77" t="n">
        <f aca="false">IFERROR(__xludf.dummyfunction("""COMPUTED_VALUE"""),9720000000)</f>
        <v>9720000000</v>
      </c>
      <c r="F96" s="77" t="n">
        <f aca="false">IFERROR(__xludf.dummyfunction("""COMPUTED_VALUE"""),80900000)</f>
        <v>80900000</v>
      </c>
      <c r="G96" s="81" t="n">
        <f aca="false">IFERROR(__xludf.dummyfunction("""COMPUTED_VALUE"""),0)</f>
        <v>0</v>
      </c>
      <c r="H96" s="81" t="n">
        <f aca="false">IFERROR(__xludf.dummyfunction("""COMPUTED_VALUE"""),45300000)</f>
        <v>45300000</v>
      </c>
      <c r="I96" s="77" t="n">
        <f aca="false">IFERROR(__xludf.dummyfunction("""COMPUTED_VALUE"""),1)</f>
        <v>1</v>
      </c>
      <c r="J96" s="81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</row>
    <row r="97" customFormat="false" ht="15.75" hidden="false" customHeight="true" outlineLevel="0" collapsed="false">
      <c r="A97" s="51" t="s">
        <v>1547</v>
      </c>
      <c r="B97" s="79" t="str">
        <f aca="false">IFERROR(__xludf.dummyfunction("""COMPUTED_VALUE"""),"Red Pine")</f>
        <v>Red Pine</v>
      </c>
      <c r="C97" s="80" t="n">
        <f aca="false">IFERROR(__xludf.dummyfunction("""COMPUTED_VALUE"""),545)</f>
        <v>545</v>
      </c>
      <c r="D97" s="82" t="n">
        <f aca="false">IFERROR(__xludf.dummyfunction("""COMPUTED_VALUE"""),0.375692307692308)</f>
        <v>0.375692307692308</v>
      </c>
      <c r="E97" s="77" t="n">
        <f aca="false">IFERROR(__xludf.dummyfunction("""COMPUTED_VALUE"""),11240000000)</f>
        <v>11240000000</v>
      </c>
      <c r="F97" s="77" t="n">
        <f aca="false">IFERROR(__xludf.dummyfunction("""COMPUTED_VALUE"""),75900000)</f>
        <v>75900000</v>
      </c>
      <c r="G97" s="81" t="n">
        <f aca="false">IFERROR(__xludf.dummyfunction("""COMPUTED_VALUE"""),0)</f>
        <v>0</v>
      </c>
      <c r="H97" s="81" t="n">
        <f aca="false">IFERROR(__xludf.dummyfunction("""COMPUTED_VALUE"""),41900000)</f>
        <v>41900000</v>
      </c>
      <c r="I97" s="77" t="n">
        <f aca="false">IFERROR(__xludf.dummyfunction("""COMPUTED_VALUE"""),1)</f>
        <v>1</v>
      </c>
      <c r="J97" s="81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</row>
    <row r="98" customFormat="false" ht="15.75" hidden="false" customHeight="true" outlineLevel="0" collapsed="false">
      <c r="A98" s="51" t="s">
        <v>1547</v>
      </c>
      <c r="B98" s="79" t="str">
        <f aca="false">IFERROR(__xludf.dummyfunction("""COMPUTED_VALUE"""),"Anigre")</f>
        <v>Anigre</v>
      </c>
      <c r="C98" s="80" t="n">
        <f aca="false">IFERROR(__xludf.dummyfunction("""COMPUTED_VALUE"""),550)</f>
        <v>550</v>
      </c>
      <c r="D98" s="82" t="n">
        <f aca="false">IFERROR(__xludf.dummyfunction("""COMPUTED_VALUE"""),0.375692307692308)</f>
        <v>0.375692307692308</v>
      </c>
      <c r="E98" s="77" t="n">
        <f aca="false">IFERROR(__xludf.dummyfunction("""COMPUTED_VALUE"""),10950000000)</f>
        <v>10950000000</v>
      </c>
      <c r="F98" s="77" t="n">
        <f aca="false">IFERROR(__xludf.dummyfunction("""COMPUTED_VALUE"""),83000000)</f>
        <v>83000000</v>
      </c>
      <c r="G98" s="81" t="n">
        <f aca="false">IFERROR(__xludf.dummyfunction("""COMPUTED_VALUE"""),0)</f>
        <v>0</v>
      </c>
      <c r="H98" s="81" t="n">
        <f aca="false">IFERROR(__xludf.dummyfunction("""COMPUTED_VALUE"""),47700000)</f>
        <v>47700000</v>
      </c>
      <c r="I98" s="77" t="n">
        <f aca="false">IFERROR(__xludf.dummyfunction("""COMPUTED_VALUE"""),1)</f>
        <v>1</v>
      </c>
      <c r="J98" s="81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</row>
    <row r="99" customFormat="false" ht="15.75" hidden="false" customHeight="true" outlineLevel="0" collapsed="false">
      <c r="A99" s="51" t="s">
        <v>1547</v>
      </c>
      <c r="B99" s="79" t="str">
        <f aca="false">IFERROR(__xludf.dummyfunction("""COMPUTED_VALUE"""),"Scots Pine")</f>
        <v>Scots Pine</v>
      </c>
      <c r="C99" s="80" t="n">
        <f aca="false">IFERROR(__xludf.dummyfunction("""COMPUTED_VALUE"""),550)</f>
        <v>550</v>
      </c>
      <c r="D99" s="82" t="n">
        <f aca="false">IFERROR(__xludf.dummyfunction("""COMPUTED_VALUE"""),0.375692307692308)</f>
        <v>0.375692307692308</v>
      </c>
      <c r="E99" s="77" t="n">
        <f aca="false">IFERROR(__xludf.dummyfunction("""COMPUTED_VALUE"""),10080000000)</f>
        <v>10080000000</v>
      </c>
      <c r="F99" s="77" t="n">
        <f aca="false">IFERROR(__xludf.dummyfunction("""COMPUTED_VALUE"""),83300000)</f>
        <v>83300000</v>
      </c>
      <c r="G99" s="81" t="n">
        <f aca="false">IFERROR(__xludf.dummyfunction("""COMPUTED_VALUE"""),0)</f>
        <v>0</v>
      </c>
      <c r="H99" s="81" t="n">
        <f aca="false">IFERROR(__xludf.dummyfunction("""COMPUTED_VALUE"""),41500000)</f>
        <v>41500000</v>
      </c>
      <c r="I99" s="77" t="n">
        <f aca="false">IFERROR(__xludf.dummyfunction("""COMPUTED_VALUE"""),1)</f>
        <v>1</v>
      </c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</row>
    <row r="100" customFormat="false" ht="15.75" hidden="false" customHeight="true" outlineLevel="0" collapsed="false">
      <c r="A100" s="51" t="s">
        <v>1547</v>
      </c>
      <c r="B100" s="79" t="str">
        <f aca="false">IFERROR(__xludf.dummyfunction("""COMPUTED_VALUE"""),"Limba (Korina)")</f>
        <v>Limba (Korina)</v>
      </c>
      <c r="C100" s="80" t="n">
        <f aca="false">IFERROR(__xludf.dummyfunction("""COMPUTED_VALUE"""),555)</f>
        <v>555</v>
      </c>
      <c r="D100" s="82" t="n">
        <f aca="false">IFERROR(__xludf.dummyfunction("""COMPUTED_VALUE"""),0.375692307692308)</f>
        <v>0.375692307692308</v>
      </c>
      <c r="E100" s="77" t="n">
        <f aca="false">IFERROR(__xludf.dummyfunction("""COMPUTED_VALUE"""),10490000000)</f>
        <v>10490000000</v>
      </c>
      <c r="F100" s="77" t="n">
        <f aca="false">IFERROR(__xludf.dummyfunction("""COMPUTED_VALUE"""),86200000)</f>
        <v>86200000</v>
      </c>
      <c r="G100" s="81" t="n">
        <f aca="false">IFERROR(__xludf.dummyfunction("""COMPUTED_VALUE"""),0)</f>
        <v>0</v>
      </c>
      <c r="H100" s="81" t="n">
        <f aca="false">IFERROR(__xludf.dummyfunction("""COMPUTED_VALUE"""),45400000)</f>
        <v>45400000</v>
      </c>
      <c r="I100" s="77" t="n">
        <f aca="false">IFERROR(__xludf.dummyfunction("""COMPUTED_VALUE"""),1)</f>
        <v>1</v>
      </c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</row>
    <row r="101" customFormat="false" ht="15.75" hidden="false" customHeight="true" outlineLevel="0" collapsed="false">
      <c r="A101" s="51" t="s">
        <v>1547</v>
      </c>
      <c r="B101" s="79" t="str">
        <f aca="false">IFERROR(__xludf.dummyfunction("""COMPUTED_VALUE"""),"Cerejeira")</f>
        <v>Cerejeira</v>
      </c>
      <c r="C101" s="80" t="n">
        <f aca="false">IFERROR(__xludf.dummyfunction("""COMPUTED_VALUE"""),560)</f>
        <v>560</v>
      </c>
      <c r="D101" s="82" t="n">
        <f aca="false">IFERROR(__xludf.dummyfunction("""COMPUTED_VALUE"""),0.375692307692308)</f>
        <v>0.375692307692308</v>
      </c>
      <c r="E101" s="77" t="n">
        <f aca="false">IFERROR(__xludf.dummyfunction("""COMPUTED_VALUE"""),10880000000)</f>
        <v>10880000000</v>
      </c>
      <c r="F101" s="77" t="n">
        <f aca="false">IFERROR(__xludf.dummyfunction("""COMPUTED_VALUE"""),72900000)</f>
        <v>72900000</v>
      </c>
      <c r="G101" s="81" t="n">
        <f aca="false">IFERROR(__xludf.dummyfunction("""COMPUTED_VALUE"""),0)</f>
        <v>0</v>
      </c>
      <c r="H101" s="81" t="n">
        <f aca="false">IFERROR(__xludf.dummyfunction("""COMPUTED_VALUE"""),43500000)</f>
        <v>43500000</v>
      </c>
      <c r="I101" s="77" t="n">
        <f aca="false">IFERROR(__xludf.dummyfunction("""COMPUTED_VALUE"""),1)</f>
        <v>1</v>
      </c>
      <c r="J101" s="81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</row>
    <row r="102" customFormat="false" ht="15.75" hidden="false" customHeight="true" outlineLevel="0" collapsed="false">
      <c r="A102" s="51" t="s">
        <v>1547</v>
      </c>
      <c r="B102" s="79" t="str">
        <f aca="false">IFERROR(__xludf.dummyfunction("""COMPUTED_VALUE"""),"Queensland Maple (not maple)")</f>
        <v>Queensland Maple (not maple)</v>
      </c>
      <c r="C102" s="80" t="n">
        <f aca="false">IFERROR(__xludf.dummyfunction("""COMPUTED_VALUE"""),560)</f>
        <v>560</v>
      </c>
      <c r="D102" s="82" t="n">
        <f aca="false">IFERROR(__xludf.dummyfunction("""COMPUTED_VALUE"""),0.375692307692308)</f>
        <v>0.375692307692308</v>
      </c>
      <c r="E102" s="77" t="n">
        <f aca="false">IFERROR(__xludf.dummyfunction("""COMPUTED_VALUE"""),10830000000)</f>
        <v>10830000000</v>
      </c>
      <c r="F102" s="77" t="n">
        <f aca="false">IFERROR(__xludf.dummyfunction("""COMPUTED_VALUE"""),81000000)</f>
        <v>81000000</v>
      </c>
      <c r="G102" s="81" t="n">
        <f aca="false">IFERROR(__xludf.dummyfunction("""COMPUTED_VALUE"""),0)</f>
        <v>0</v>
      </c>
      <c r="H102" s="81" t="n">
        <f aca="false">IFERROR(__xludf.dummyfunction("""COMPUTED_VALUE"""),47000000)</f>
        <v>47000000</v>
      </c>
      <c r="I102" s="77" t="n">
        <f aca="false">IFERROR(__xludf.dummyfunction("""COMPUTED_VALUE"""),1)</f>
        <v>1</v>
      </c>
      <c r="J102" s="81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</row>
    <row r="103" customFormat="false" ht="15.75" hidden="false" customHeight="true" outlineLevel="0" collapsed="false">
      <c r="A103" s="51" t="s">
        <v>1547</v>
      </c>
      <c r="B103" s="79" t="str">
        <f aca="false">IFERROR(__xludf.dummyfunction("""COMPUTED_VALUE"""),"Northern Silky Oak")</f>
        <v>Northern Silky Oak</v>
      </c>
      <c r="C103" s="80" t="n">
        <f aca="false">IFERROR(__xludf.dummyfunction("""COMPUTED_VALUE"""),560)</f>
        <v>560</v>
      </c>
      <c r="D103" s="82" t="n">
        <f aca="false">IFERROR(__xludf.dummyfunction("""COMPUTED_VALUE"""),0.375692307692308)</f>
        <v>0.375692307692308</v>
      </c>
      <c r="E103" s="77" t="n">
        <f aca="false">IFERROR(__xludf.dummyfunction("""COMPUTED_VALUE"""),8920000000)</f>
        <v>8920000000</v>
      </c>
      <c r="F103" s="77" t="n">
        <f aca="false">IFERROR(__xludf.dummyfunction("""COMPUTED_VALUE"""),65700000)</f>
        <v>65700000</v>
      </c>
      <c r="G103" s="81" t="n">
        <f aca="false">IFERROR(__xludf.dummyfunction("""COMPUTED_VALUE"""),0)</f>
        <v>0</v>
      </c>
      <c r="H103" s="81" t="n">
        <f aca="false">IFERROR(__xludf.dummyfunction("""COMPUTED_VALUE"""),39200000)</f>
        <v>39200000</v>
      </c>
      <c r="I103" s="77" t="n">
        <f aca="false">IFERROR(__xludf.dummyfunction("""COMPUTED_VALUE"""),1)</f>
        <v>1</v>
      </c>
      <c r="J103" s="81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</row>
    <row r="104" customFormat="false" ht="15.75" hidden="false" customHeight="true" outlineLevel="0" collapsed="false">
      <c r="A104" s="51" t="s">
        <v>1547</v>
      </c>
      <c r="B104" s="79" t="str">
        <f aca="false">IFERROR(__xludf.dummyfunction("""COMPUTED_VALUE"""),"Black Cherry")</f>
        <v>Black Cherry</v>
      </c>
      <c r="C104" s="80" t="n">
        <f aca="false">IFERROR(__xludf.dummyfunction("""COMPUTED_VALUE"""),560)</f>
        <v>560</v>
      </c>
      <c r="D104" s="82" t="n">
        <f aca="false">IFERROR(__xludf.dummyfunction("""COMPUTED_VALUE"""),0.392)</f>
        <v>0.392</v>
      </c>
      <c r="E104" s="77" t="n">
        <f aca="false">IFERROR(__xludf.dummyfunction("""COMPUTED_VALUE"""),10300000000)</f>
        <v>10300000000</v>
      </c>
      <c r="F104" s="77" t="n">
        <f aca="false">IFERROR(__xludf.dummyfunction("""COMPUTED_VALUE"""),84800000)</f>
        <v>84800000</v>
      </c>
      <c r="G104" s="81" t="n">
        <f aca="false">IFERROR(__xludf.dummyfunction("""COMPUTED_VALUE"""),0)</f>
        <v>0</v>
      </c>
      <c r="H104" s="81" t="n">
        <f aca="false">IFERROR(__xludf.dummyfunction("""COMPUTED_VALUE"""),49000000)</f>
        <v>49000000</v>
      </c>
      <c r="I104" s="77" t="n">
        <f aca="false">IFERROR(__xludf.dummyfunction("""COMPUTED_VALUE"""),1)</f>
        <v>1</v>
      </c>
      <c r="J104" s="81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</row>
    <row r="105" customFormat="false" ht="15.75" hidden="false" customHeight="true" outlineLevel="0" collapsed="false">
      <c r="A105" s="51" t="s">
        <v>1547</v>
      </c>
      <c r="B105" s="79" t="str">
        <f aca="false">IFERROR(__xludf.dummyfunction("""COMPUTED_VALUE"""),"Tamo Ash")</f>
        <v>Tamo Ash</v>
      </c>
      <c r="C105" s="80" t="n">
        <f aca="false">IFERROR(__xludf.dummyfunction("""COMPUTED_VALUE"""),560)</f>
        <v>560</v>
      </c>
      <c r="D105" s="82" t="n">
        <f aca="false">IFERROR(__xludf.dummyfunction("""COMPUTED_VALUE"""),0.375692307692308)</f>
        <v>0.375692307692308</v>
      </c>
      <c r="E105" s="77" t="n">
        <f aca="false">IFERROR(__xludf.dummyfunction("""COMPUTED_VALUE"""),8240000000)</f>
        <v>8240000000</v>
      </c>
      <c r="F105" s="77" t="n">
        <f aca="false">IFERROR(__xludf.dummyfunction("""COMPUTED_VALUE"""),74600000)</f>
        <v>74600000</v>
      </c>
      <c r="G105" s="81" t="n">
        <f aca="false">IFERROR(__xludf.dummyfunction("""COMPUTED_VALUE"""),0)</f>
        <v>0</v>
      </c>
      <c r="H105" s="81"/>
      <c r="I105" s="77" t="n">
        <f aca="false">IFERROR(__xludf.dummyfunction("""COMPUTED_VALUE"""),1)</f>
        <v>1</v>
      </c>
      <c r="J105" s="81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</row>
    <row r="106" customFormat="false" ht="15.75" hidden="false" customHeight="true" outlineLevel="0" collapsed="false">
      <c r="A106" s="51" t="s">
        <v>1547</v>
      </c>
      <c r="B106" s="79" t="str">
        <f aca="false">IFERROR(__xludf.dummyfunction("""COMPUTED_VALUE"""),"American Elm")</f>
        <v>American Elm</v>
      </c>
      <c r="C106" s="80" t="n">
        <f aca="false">IFERROR(__xludf.dummyfunction("""COMPUTED_VALUE"""),560)</f>
        <v>560</v>
      </c>
      <c r="D106" s="82" t="n">
        <f aca="false">IFERROR(__xludf.dummyfunction("""COMPUTED_VALUE"""),0.375692307692308)</f>
        <v>0.375692307692308</v>
      </c>
      <c r="E106" s="77" t="n">
        <f aca="false">IFERROR(__xludf.dummyfunction("""COMPUTED_VALUE"""),9240000000)</f>
        <v>9240000000</v>
      </c>
      <c r="F106" s="77" t="n">
        <f aca="false">IFERROR(__xludf.dummyfunction("""COMPUTED_VALUE"""),81400000)</f>
        <v>81400000</v>
      </c>
      <c r="G106" s="81" t="n">
        <f aca="false">IFERROR(__xludf.dummyfunction("""COMPUTED_VALUE"""),0)</f>
        <v>0</v>
      </c>
      <c r="H106" s="81" t="n">
        <f aca="false">IFERROR(__xludf.dummyfunction("""COMPUTED_VALUE"""),38100000)</f>
        <v>38100000</v>
      </c>
      <c r="I106" s="77" t="n">
        <f aca="false">IFERROR(__xludf.dummyfunction("""COMPUTED_VALUE"""),1)</f>
        <v>1</v>
      </c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</row>
    <row r="107" customFormat="false" ht="15.75" hidden="false" customHeight="true" outlineLevel="0" collapsed="false">
      <c r="A107" s="51" t="s">
        <v>1547</v>
      </c>
      <c r="B107" s="79" t="str">
        <f aca="false">IFERROR(__xludf.dummyfunction("""COMPUTED_VALUE"""),"Loblolly Pine")</f>
        <v>Loblolly Pine</v>
      </c>
      <c r="C107" s="80" t="n">
        <f aca="false">IFERROR(__xludf.dummyfunction("""COMPUTED_VALUE"""),570)</f>
        <v>570</v>
      </c>
      <c r="D107" s="82" t="n">
        <f aca="false">IFERROR(__xludf.dummyfunction("""COMPUTED_VALUE"""),0.375692307692308)</f>
        <v>0.375692307692308</v>
      </c>
      <c r="E107" s="77" t="n">
        <f aca="false">IFERROR(__xludf.dummyfunction("""COMPUTED_VALUE"""),12300000000)</f>
        <v>12300000000</v>
      </c>
      <c r="F107" s="77" t="n">
        <f aca="false">IFERROR(__xludf.dummyfunction("""COMPUTED_VALUE"""),88300000)</f>
        <v>88300000</v>
      </c>
      <c r="G107" s="81" t="n">
        <f aca="false">IFERROR(__xludf.dummyfunction("""COMPUTED_VALUE"""),0)</f>
        <v>0</v>
      </c>
      <c r="H107" s="81" t="n">
        <f aca="false">IFERROR(__xludf.dummyfunction("""COMPUTED_VALUE"""),49200000)</f>
        <v>49200000</v>
      </c>
      <c r="I107" s="77" t="n">
        <f aca="false">IFERROR(__xludf.dummyfunction("""COMPUTED_VALUE"""),1)</f>
        <v>1</v>
      </c>
      <c r="J107" s="81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</row>
    <row r="108" customFormat="false" ht="15.75" hidden="false" customHeight="true" outlineLevel="0" collapsed="false">
      <c r="A108" s="51" t="s">
        <v>1547</v>
      </c>
      <c r="B108" s="79" t="str">
        <f aca="false">IFERROR(__xludf.dummyfunction("""COMPUTED_VALUE"""),"Shortleaf Pine")</f>
        <v>Shortleaf Pine</v>
      </c>
      <c r="C108" s="80" t="n">
        <f aca="false">IFERROR(__xludf.dummyfunction("""COMPUTED_VALUE"""),570)</f>
        <v>570</v>
      </c>
      <c r="D108" s="82" t="n">
        <f aca="false">IFERROR(__xludf.dummyfunction("""COMPUTED_VALUE"""),0.375692307692308)</f>
        <v>0.375692307692308</v>
      </c>
      <c r="E108" s="77" t="n">
        <f aca="false">IFERROR(__xludf.dummyfunction("""COMPUTED_VALUE"""),12100000000)</f>
        <v>12100000000</v>
      </c>
      <c r="F108" s="77" t="n">
        <f aca="false">IFERROR(__xludf.dummyfunction("""COMPUTED_VALUE"""),90300000)</f>
        <v>90300000</v>
      </c>
      <c r="G108" s="81" t="n">
        <f aca="false">IFERROR(__xludf.dummyfunction("""COMPUTED_VALUE"""),0)</f>
        <v>0</v>
      </c>
      <c r="H108" s="81" t="n">
        <f aca="false">IFERROR(__xludf.dummyfunction("""COMPUTED_VALUE"""),50100000)</f>
        <v>50100000</v>
      </c>
      <c r="I108" s="77" t="n">
        <f aca="false">IFERROR(__xludf.dummyfunction("""COMPUTED_VALUE"""),1)</f>
        <v>1</v>
      </c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</row>
    <row r="109" customFormat="false" ht="15.75" hidden="false" customHeight="true" outlineLevel="0" collapsed="false">
      <c r="A109" s="51" t="s">
        <v>1547</v>
      </c>
      <c r="B109" s="79" t="str">
        <f aca="false">IFERROR(__xludf.dummyfunction("""COMPUTED_VALUE"""),"Western Larch")</f>
        <v>Western Larch</v>
      </c>
      <c r="C109" s="80" t="n">
        <f aca="false">IFERROR(__xludf.dummyfunction("""COMPUTED_VALUE"""),575)</f>
        <v>575</v>
      </c>
      <c r="D109" s="82" t="n">
        <f aca="false">IFERROR(__xludf.dummyfunction("""COMPUTED_VALUE"""),0.355)</f>
        <v>0.355</v>
      </c>
      <c r="E109" s="77" t="n">
        <f aca="false">IFERROR(__xludf.dummyfunction("""COMPUTED_VALUE"""),12900000000)</f>
        <v>12900000000</v>
      </c>
      <c r="F109" s="77" t="n">
        <f aca="false">IFERROR(__xludf.dummyfunction("""COMPUTED_VALUE"""),89700000)</f>
        <v>89700000</v>
      </c>
      <c r="G109" s="81" t="n">
        <f aca="false">IFERROR(__xludf.dummyfunction("""COMPUTED_VALUE"""),0)</f>
        <v>0</v>
      </c>
      <c r="H109" s="81" t="n">
        <f aca="false">IFERROR(__xludf.dummyfunction("""COMPUTED_VALUE"""),52600000)</f>
        <v>52600000</v>
      </c>
      <c r="I109" s="77" t="n">
        <f aca="false">IFERROR(__xludf.dummyfunction("""COMPUTED_VALUE"""),1)</f>
        <v>1</v>
      </c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</row>
    <row r="110" customFormat="false" ht="15.75" hidden="false" customHeight="true" outlineLevel="0" collapsed="false">
      <c r="A110" s="51" t="s">
        <v>1547</v>
      </c>
      <c r="B110" s="79" t="str">
        <f aca="false">IFERROR(__xludf.dummyfunction("""COMPUTED_VALUE"""),"Avodire")</f>
        <v>Avodire</v>
      </c>
      <c r="C110" s="80" t="n">
        <f aca="false">IFERROR(__xludf.dummyfunction("""COMPUTED_VALUE"""),575)</f>
        <v>575</v>
      </c>
      <c r="D110" s="82" t="n">
        <f aca="false">IFERROR(__xludf.dummyfunction("""COMPUTED_VALUE"""),0.375692307692308)</f>
        <v>0.375692307692308</v>
      </c>
      <c r="E110" s="77" t="n">
        <f aca="false">IFERROR(__xludf.dummyfunction("""COMPUTED_VALUE"""),11130000000)</f>
        <v>11130000000</v>
      </c>
      <c r="F110" s="77" t="n">
        <f aca="false">IFERROR(__xludf.dummyfunction("""COMPUTED_VALUE"""),106200000)</f>
        <v>106200000</v>
      </c>
      <c r="G110" s="81" t="n">
        <f aca="false">IFERROR(__xludf.dummyfunction("""COMPUTED_VALUE"""),0)</f>
        <v>0</v>
      </c>
      <c r="H110" s="81" t="n">
        <f aca="false">IFERROR(__xludf.dummyfunction("""COMPUTED_VALUE"""),51700000)</f>
        <v>51700000</v>
      </c>
      <c r="I110" s="77" t="n">
        <f aca="false">IFERROR(__xludf.dummyfunction("""COMPUTED_VALUE"""),1)</f>
        <v>1</v>
      </c>
      <c r="J110" s="81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</row>
    <row r="111" customFormat="false" ht="15.75" hidden="false" customHeight="true" outlineLevel="0" collapsed="false">
      <c r="A111" s="51" t="s">
        <v>1547</v>
      </c>
      <c r="B111" s="79" t="str">
        <f aca="false">IFERROR(__xludf.dummyfunction("""COMPUTED_VALUE"""),"Freijo")</f>
        <v>Freijo</v>
      </c>
      <c r="C111" s="80" t="n">
        <f aca="false">IFERROR(__xludf.dummyfunction("""COMPUTED_VALUE"""),580)</f>
        <v>580</v>
      </c>
      <c r="D111" s="82" t="n">
        <f aca="false">IFERROR(__xludf.dummyfunction("""COMPUTED_VALUE"""),0.375692307692308)</f>
        <v>0.375692307692308</v>
      </c>
      <c r="E111" s="77" t="n">
        <f aca="false">IFERROR(__xludf.dummyfunction("""COMPUTED_VALUE"""),13130000000)</f>
        <v>13130000000</v>
      </c>
      <c r="F111" s="77" t="n">
        <f aca="false">IFERROR(__xludf.dummyfunction("""COMPUTED_VALUE"""),88000000)</f>
        <v>88000000</v>
      </c>
      <c r="G111" s="81" t="n">
        <f aca="false">IFERROR(__xludf.dummyfunction("""COMPUTED_VALUE"""),0)</f>
        <v>0</v>
      </c>
      <c r="H111" s="81" t="n">
        <f aca="false">IFERROR(__xludf.dummyfunction("""COMPUTED_VALUE"""),49700000)</f>
        <v>49700000</v>
      </c>
      <c r="I111" s="77" t="n">
        <f aca="false">IFERROR(__xludf.dummyfunction("""COMPUTED_VALUE"""),1)</f>
        <v>1</v>
      </c>
      <c r="J111" s="81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</row>
    <row r="112" customFormat="false" ht="15.75" hidden="false" customHeight="true" outlineLevel="0" collapsed="false">
      <c r="A112" s="51" t="s">
        <v>1547</v>
      </c>
      <c r="B112" s="79" t="str">
        <f aca="false">IFERROR(__xludf.dummyfunction("""COMPUTED_VALUE"""),"Lacewood")</f>
        <v>Lacewood</v>
      </c>
      <c r="C112" s="80" t="n">
        <f aca="false">IFERROR(__xludf.dummyfunction("""COMPUTED_VALUE"""),580)</f>
        <v>580</v>
      </c>
      <c r="D112" s="82" t="n">
        <f aca="false">IFERROR(__xludf.dummyfunction("""COMPUTED_VALUE"""),0.375692307692308)</f>
        <v>0.375692307692308</v>
      </c>
      <c r="E112" s="77"/>
      <c r="F112" s="77"/>
      <c r="G112" s="81" t="n">
        <f aca="false">IFERROR(__xludf.dummyfunction("""COMPUTED_VALUE"""),0)</f>
        <v>0</v>
      </c>
      <c r="H112" s="81"/>
      <c r="I112" s="77" t="n">
        <f aca="false">IFERROR(__xludf.dummyfunction("""COMPUTED_VALUE"""),1)</f>
        <v>1</v>
      </c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</row>
    <row r="113" customFormat="false" ht="15.75" hidden="false" customHeight="true" outlineLevel="0" collapsed="false">
      <c r="A113" s="51" t="s">
        <v>1547</v>
      </c>
      <c r="B113" s="79" t="str">
        <f aca="false">IFERROR(__xludf.dummyfunction("""COMPUTED_VALUE"""),"Honduran Mahogany")</f>
        <v>Honduran Mahogany</v>
      </c>
      <c r="C113" s="80" t="n">
        <f aca="false">IFERROR(__xludf.dummyfunction("""COMPUTED_VALUE"""),590)</f>
        <v>590</v>
      </c>
      <c r="D113" s="82" t="n">
        <f aca="false">IFERROR(__xludf.dummyfunction("""COMPUTED_VALUE"""),0.314)</f>
        <v>0.314</v>
      </c>
      <c r="E113" s="77" t="n">
        <f aca="false">IFERROR(__xludf.dummyfunction("""COMPUTED_VALUE"""),10060000000)</f>
        <v>10060000000</v>
      </c>
      <c r="F113" s="77" t="n">
        <f aca="false">IFERROR(__xludf.dummyfunction("""COMPUTED_VALUE"""),80800000)</f>
        <v>80800000</v>
      </c>
      <c r="G113" s="81" t="n">
        <f aca="false">IFERROR(__xludf.dummyfunction("""COMPUTED_VALUE"""),0)</f>
        <v>0</v>
      </c>
      <c r="H113" s="81" t="n">
        <f aca="false">IFERROR(__xludf.dummyfunction("""COMPUTED_VALUE"""),46600000)</f>
        <v>46600000</v>
      </c>
      <c r="I113" s="77" t="n">
        <f aca="false">IFERROR(__xludf.dummyfunction("""COMPUTED_VALUE"""),1)</f>
        <v>1</v>
      </c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</row>
    <row r="114" customFormat="false" ht="15.75" hidden="false" customHeight="true" outlineLevel="0" collapsed="false">
      <c r="A114" s="51" t="s">
        <v>1547</v>
      </c>
      <c r="B114" s="79" t="str">
        <f aca="false">IFERROR(__xludf.dummyfunction("""COMPUTED_VALUE"""),"Sweet Chestnut")</f>
        <v>Sweet Chestnut</v>
      </c>
      <c r="C114" s="80" t="n">
        <f aca="false">IFERROR(__xludf.dummyfunction("""COMPUTED_VALUE"""),590)</f>
        <v>590</v>
      </c>
      <c r="D114" s="82" t="n">
        <f aca="false">IFERROR(__xludf.dummyfunction("""COMPUTED_VALUE"""),0.375692307692308)</f>
        <v>0.375692307692308</v>
      </c>
      <c r="E114" s="77" t="n">
        <f aca="false">IFERROR(__xludf.dummyfunction("""COMPUTED_VALUE"""),8610000000)</f>
        <v>8610000000</v>
      </c>
      <c r="F114" s="77" t="n">
        <f aca="false">IFERROR(__xludf.dummyfunction("""COMPUTED_VALUE"""),71400000)</f>
        <v>71400000</v>
      </c>
      <c r="G114" s="81" t="n">
        <f aca="false">IFERROR(__xludf.dummyfunction("""COMPUTED_VALUE"""),0)</f>
        <v>0</v>
      </c>
      <c r="H114" s="81" t="n">
        <f aca="false">IFERROR(__xludf.dummyfunction("""COMPUTED_VALUE"""),43800000)</f>
        <v>43800000</v>
      </c>
      <c r="I114" s="77" t="n">
        <f aca="false">IFERROR(__xludf.dummyfunction("""COMPUTED_VALUE"""),1)</f>
        <v>1</v>
      </c>
      <c r="J114" s="81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</row>
    <row r="115" customFormat="false" ht="15.75" hidden="false" customHeight="true" outlineLevel="0" collapsed="false">
      <c r="A115" s="51" t="s">
        <v>1547</v>
      </c>
      <c r="B115" s="79" t="str">
        <f aca="false">IFERROR(__xludf.dummyfunction("""COMPUTED_VALUE"""),"Southern Silky Oak")</f>
        <v>Southern Silky Oak</v>
      </c>
      <c r="C115" s="80" t="n">
        <f aca="false">IFERROR(__xludf.dummyfunction("""COMPUTED_VALUE"""),590)</f>
        <v>590</v>
      </c>
      <c r="D115" s="82" t="n">
        <f aca="false">IFERROR(__xludf.dummyfunction("""COMPUTED_VALUE"""),0.375692307692308)</f>
        <v>0.375692307692308</v>
      </c>
      <c r="E115" s="77" t="n">
        <f aca="false">IFERROR(__xludf.dummyfunction("""COMPUTED_VALUE"""),7930000000)</f>
        <v>7930000000</v>
      </c>
      <c r="F115" s="77" t="n">
        <f aca="false">IFERROR(__xludf.dummyfunction("""COMPUTED_VALUE"""),74400000)</f>
        <v>74400000</v>
      </c>
      <c r="G115" s="81" t="n">
        <f aca="false">IFERROR(__xludf.dummyfunction("""COMPUTED_VALUE"""),0)</f>
        <v>0</v>
      </c>
      <c r="H115" s="81" t="n">
        <f aca="false">IFERROR(__xludf.dummyfunction("""COMPUTED_VALUE"""),35000000)</f>
        <v>35000000</v>
      </c>
      <c r="I115" s="77" t="n">
        <f aca="false">IFERROR(__xludf.dummyfunction("""COMPUTED_VALUE"""),1)</f>
        <v>1</v>
      </c>
      <c r="J115" s="81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</row>
    <row r="116" customFormat="false" ht="15.75" hidden="false" customHeight="true" outlineLevel="0" collapsed="false">
      <c r="A116" s="51" t="s">
        <v>1547</v>
      </c>
      <c r="B116" s="79" t="str">
        <f aca="false">IFERROR(__xludf.dummyfunction("""COMPUTED_VALUE"""),"Hackberry")</f>
        <v>Hackberry</v>
      </c>
      <c r="C116" s="80" t="n">
        <f aca="false">IFERROR(__xludf.dummyfunction("""COMPUTED_VALUE"""),595)</f>
        <v>595</v>
      </c>
      <c r="D116" s="82" t="n">
        <f aca="false">IFERROR(__xludf.dummyfunction("""COMPUTED_VALUE"""),0.375692307692308)</f>
        <v>0.375692307692308</v>
      </c>
      <c r="E116" s="77" t="n">
        <f aca="false">IFERROR(__xludf.dummyfunction("""COMPUTED_VALUE"""),8210000000)</f>
        <v>8210000000</v>
      </c>
      <c r="F116" s="77" t="n">
        <f aca="false">IFERROR(__xludf.dummyfunction("""COMPUTED_VALUE"""),75900000)</f>
        <v>75900000</v>
      </c>
      <c r="G116" s="81" t="n">
        <f aca="false">IFERROR(__xludf.dummyfunction("""COMPUTED_VALUE"""),0)</f>
        <v>0</v>
      </c>
      <c r="H116" s="81" t="n">
        <f aca="false">IFERROR(__xludf.dummyfunction("""COMPUTED_VALUE"""),37500000)</f>
        <v>37500000</v>
      </c>
      <c r="I116" s="77" t="n">
        <f aca="false">IFERROR(__xludf.dummyfunction("""COMPUTED_VALUE"""),1)</f>
        <v>1</v>
      </c>
      <c r="J116" s="81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</row>
    <row r="117" customFormat="false" ht="15.75" hidden="false" customHeight="true" outlineLevel="0" collapsed="false">
      <c r="A117" s="51" t="s">
        <v>1547</v>
      </c>
      <c r="B117" s="79" t="str">
        <f aca="false">IFERROR(__xludf.dummyfunction("""COMPUTED_VALUE"""),"Red Elm")</f>
        <v>Red Elm</v>
      </c>
      <c r="C117" s="80" t="n">
        <f aca="false">IFERROR(__xludf.dummyfunction("""COMPUTED_VALUE"""),600)</f>
        <v>600</v>
      </c>
      <c r="D117" s="82" t="n">
        <f aca="false">IFERROR(__xludf.dummyfunction("""COMPUTED_VALUE"""),0.375692307692308)</f>
        <v>0.375692307692308</v>
      </c>
      <c r="E117" s="77" t="n">
        <f aca="false">IFERROR(__xludf.dummyfunction("""COMPUTED_VALUE"""),10280000000)</f>
        <v>10280000000</v>
      </c>
      <c r="F117" s="77" t="n">
        <f aca="false">IFERROR(__xludf.dummyfunction("""COMPUTED_VALUE"""),89700000)</f>
        <v>89700000</v>
      </c>
      <c r="G117" s="81" t="n">
        <f aca="false">IFERROR(__xludf.dummyfunction("""COMPUTED_VALUE"""),0)</f>
        <v>0</v>
      </c>
      <c r="H117" s="81" t="n">
        <f aca="false">IFERROR(__xludf.dummyfunction("""COMPUTED_VALUE"""),43900000)</f>
        <v>43900000</v>
      </c>
      <c r="I117" s="77" t="n">
        <f aca="false">IFERROR(__xludf.dummyfunction("""COMPUTED_VALUE"""),1)</f>
        <v>1</v>
      </c>
      <c r="J117" s="81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</row>
    <row r="118" customFormat="false" ht="15.75" hidden="false" customHeight="true" outlineLevel="0" collapsed="false">
      <c r="A118" s="51" t="s">
        <v>1547</v>
      </c>
      <c r="B118" s="79" t="str">
        <f aca="false">IFERROR(__xludf.dummyfunction("""COMPUTED_VALUE"""),"Sweet Cherry")</f>
        <v>Sweet Cherry</v>
      </c>
      <c r="C118" s="83" t="n">
        <f aca="false">IFERROR(__xludf.dummyfunction("""COMPUTED_VALUE"""),600)</f>
        <v>600</v>
      </c>
      <c r="D118" s="82" t="n">
        <f aca="false">IFERROR(__xludf.dummyfunction("""COMPUTED_VALUE"""),0.375692307692308)</f>
        <v>0.375692307692308</v>
      </c>
      <c r="E118" s="77" t="n">
        <f aca="false">IFERROR(__xludf.dummyfunction("""COMPUTED_VALUE"""),10550000000)</f>
        <v>10550000000</v>
      </c>
      <c r="F118" s="77" t="n">
        <f aca="false">IFERROR(__xludf.dummyfunction("""COMPUTED_VALUE"""),103300000)</f>
        <v>103300000</v>
      </c>
      <c r="G118" s="81" t="n">
        <f aca="false">IFERROR(__xludf.dummyfunction("""COMPUTED_VALUE"""),0)</f>
        <v>0</v>
      </c>
      <c r="H118" s="81" t="n">
        <f aca="false">IFERROR(__xludf.dummyfunction("""COMPUTED_VALUE"""),50000000)</f>
        <v>50000000</v>
      </c>
      <c r="I118" s="77" t="n">
        <f aca="false">IFERROR(__xludf.dummyfunction("""COMPUTED_VALUE"""),1)</f>
        <v>1</v>
      </c>
      <c r="J118" s="81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</row>
    <row r="119" customFormat="false" ht="15.75" hidden="false" customHeight="true" outlineLevel="0" collapsed="false">
      <c r="A119" s="51" t="s">
        <v>1547</v>
      </c>
      <c r="B119" s="79" t="str">
        <f aca="false">IFERROR(__xludf.dummyfunction("""COMPUTED_VALUE"""),"Cuban Mahogany")</f>
        <v>Cuban Mahogany</v>
      </c>
      <c r="C119" s="80" t="n">
        <f aca="false">IFERROR(__xludf.dummyfunction("""COMPUTED_VALUE"""),600)</f>
        <v>600</v>
      </c>
      <c r="D119" s="82" t="n">
        <f aca="false">IFERROR(__xludf.dummyfunction("""COMPUTED_VALUE"""),0.314)</f>
        <v>0.314</v>
      </c>
      <c r="E119" s="77" t="n">
        <f aca="false">IFERROR(__xludf.dummyfunction("""COMPUTED_VALUE"""),9310000000)</f>
        <v>9310000000</v>
      </c>
      <c r="F119" s="77" t="n">
        <f aca="false">IFERROR(__xludf.dummyfunction("""COMPUTED_VALUE"""),74400000)</f>
        <v>74400000</v>
      </c>
      <c r="G119" s="81" t="n">
        <f aca="false">IFERROR(__xludf.dummyfunction("""COMPUTED_VALUE"""),0)</f>
        <v>0</v>
      </c>
      <c r="H119" s="81" t="n">
        <f aca="false">IFERROR(__xludf.dummyfunction("""COMPUTED_VALUE"""),43300000)</f>
        <v>43300000</v>
      </c>
      <c r="I119" s="77" t="n">
        <f aca="false">IFERROR(__xludf.dummyfunction("""COMPUTED_VALUE"""),1)</f>
        <v>1</v>
      </c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</row>
    <row r="120" customFormat="false" ht="15.75" hidden="false" customHeight="true" outlineLevel="0" collapsed="false">
      <c r="A120" s="51" t="s">
        <v>1547</v>
      </c>
      <c r="B120" s="79" t="str">
        <f aca="false">IFERROR(__xludf.dummyfunction("""COMPUTED_VALUE"""),"Monkeypod")</f>
        <v>Monkeypod</v>
      </c>
      <c r="C120" s="80" t="n">
        <f aca="false">IFERROR(__xludf.dummyfunction("""COMPUTED_VALUE"""),600)</f>
        <v>600</v>
      </c>
      <c r="D120" s="82" t="n">
        <f aca="false">IFERROR(__xludf.dummyfunction("""COMPUTED_VALUE"""),0.375692307692308)</f>
        <v>0.375692307692308</v>
      </c>
      <c r="E120" s="77" t="n">
        <f aca="false">IFERROR(__xludf.dummyfunction("""COMPUTED_VALUE"""),7920000000)</f>
        <v>7920000000</v>
      </c>
      <c r="F120" s="77" t="n">
        <f aca="false">IFERROR(__xludf.dummyfunction("""COMPUTED_VALUE"""),65700000)</f>
        <v>65700000</v>
      </c>
      <c r="G120" s="81" t="n">
        <f aca="false">IFERROR(__xludf.dummyfunction("""COMPUTED_VALUE"""),0)</f>
        <v>0</v>
      </c>
      <c r="H120" s="81" t="n">
        <f aca="false">IFERROR(__xludf.dummyfunction("""COMPUTED_VALUE"""),39900000)</f>
        <v>39900000</v>
      </c>
      <c r="I120" s="77" t="n">
        <f aca="false">IFERROR(__xludf.dummyfunction("""COMPUTED_VALUE"""),1)</f>
        <v>1</v>
      </c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</row>
    <row r="121" customFormat="false" ht="15.75" hidden="false" customHeight="true" outlineLevel="0" collapsed="false">
      <c r="A121" s="51" t="s">
        <v>1547</v>
      </c>
      <c r="B121" s="79" t="str">
        <f aca="false">IFERROR(__xludf.dummyfunction("""COMPUTED_VALUE"""),"Peruvian Walnut")</f>
        <v>Peruvian Walnut</v>
      </c>
      <c r="C121" s="80" t="n">
        <f aca="false">IFERROR(__xludf.dummyfunction("""COMPUTED_VALUE"""),600)</f>
        <v>600</v>
      </c>
      <c r="D121" s="82" t="n">
        <f aca="false">IFERROR(__xludf.dummyfunction("""COMPUTED_VALUE"""),0.495)</f>
        <v>0.495</v>
      </c>
      <c r="E121" s="77" t="n">
        <f aca="false">IFERROR(__xludf.dummyfunction("""COMPUTED_VALUE"""),7810000000)</f>
        <v>7810000000</v>
      </c>
      <c r="F121" s="77" t="n">
        <f aca="false">IFERROR(__xludf.dummyfunction("""COMPUTED_VALUE"""),77000000)</f>
        <v>77000000</v>
      </c>
      <c r="G121" s="81" t="n">
        <f aca="false">IFERROR(__xludf.dummyfunction("""COMPUTED_VALUE"""),0)</f>
        <v>0</v>
      </c>
      <c r="H121" s="81" t="n">
        <f aca="false">IFERROR(__xludf.dummyfunction("""COMPUTED_VALUE"""),45200000)</f>
        <v>45200000</v>
      </c>
      <c r="I121" s="77" t="n">
        <f aca="false">IFERROR(__xludf.dummyfunction("""COMPUTED_VALUE"""),1)</f>
        <v>1</v>
      </c>
      <c r="J121" s="81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</row>
    <row r="122" customFormat="false" ht="15.75" hidden="false" customHeight="true" outlineLevel="0" collapsed="false">
      <c r="A122" s="51" t="s">
        <v>1547</v>
      </c>
      <c r="B122" s="79" t="str">
        <f aca="false">IFERROR(__xludf.dummyfunction("""COMPUTED_VALUE"""),"Black Walnut")</f>
        <v>Black Walnut</v>
      </c>
      <c r="C122" s="80" t="n">
        <f aca="false">IFERROR(__xludf.dummyfunction("""COMPUTED_VALUE"""),610)</f>
        <v>610</v>
      </c>
      <c r="D122" s="82" t="n">
        <f aca="false">IFERROR(__xludf.dummyfunction("""COMPUTED_VALUE"""),0.495)</f>
        <v>0.495</v>
      </c>
      <c r="E122" s="77" t="n">
        <f aca="false">IFERROR(__xludf.dummyfunction("""COMPUTED_VALUE"""),11590000000)</f>
        <v>11590000000</v>
      </c>
      <c r="F122" s="77" t="n">
        <f aca="false">IFERROR(__xludf.dummyfunction("""COMPUTED_VALUE"""),100700000)</f>
        <v>100700000</v>
      </c>
      <c r="G122" s="81" t="n">
        <f aca="false">IFERROR(__xludf.dummyfunction("""COMPUTED_VALUE"""),0)</f>
        <v>0</v>
      </c>
      <c r="H122" s="81" t="n">
        <f aca="false">IFERROR(__xludf.dummyfunction("""COMPUTED_VALUE"""),52300000)</f>
        <v>52300000</v>
      </c>
      <c r="I122" s="77" t="n">
        <f aca="false">IFERROR(__xludf.dummyfunction("""COMPUTED_VALUE"""),1)</f>
        <v>1</v>
      </c>
      <c r="J122" s="81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</row>
    <row r="123" customFormat="false" ht="24.75" hidden="false" customHeight="true" outlineLevel="0" collapsed="false">
      <c r="A123" s="51" t="s">
        <v>1547</v>
      </c>
      <c r="B123" s="79" t="str">
        <f aca="false">IFERROR(__xludf.dummyfunction("""COMPUTED_VALUE"""),"Red Maple
(US ""soft"")")</f>
        <v>Red Maple
(US "soft")</v>
      </c>
      <c r="C123" s="80" t="n">
        <f aca="false">IFERROR(__xludf.dummyfunction("""COMPUTED_VALUE"""),610)</f>
        <v>610</v>
      </c>
      <c r="D123" s="82" t="n">
        <f aca="false">IFERROR(__xludf.dummyfunction("""COMPUTED_VALUE"""),0.434)</f>
        <v>0.434</v>
      </c>
      <c r="E123" s="77" t="n">
        <f aca="false">IFERROR(__xludf.dummyfunction("""COMPUTED_VALUE"""),11310000000)</f>
        <v>11310000000</v>
      </c>
      <c r="F123" s="77" t="n">
        <f aca="false">IFERROR(__xludf.dummyfunction("""COMPUTED_VALUE"""),92400000)</f>
        <v>92400000</v>
      </c>
      <c r="G123" s="81" t="n">
        <f aca="false">IFERROR(__xludf.dummyfunction("""COMPUTED_VALUE"""),0)</f>
        <v>0</v>
      </c>
      <c r="H123" s="81" t="n">
        <f aca="false">IFERROR(__xludf.dummyfunction("""COMPUTED_VALUE"""),45100000)</f>
        <v>45100000</v>
      </c>
      <c r="I123" s="77" t="n">
        <f aca="false">IFERROR(__xludf.dummyfunction("""COMPUTED_VALUE"""),1)</f>
        <v>1</v>
      </c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</row>
    <row r="124" customFormat="false" ht="15.75" hidden="false" customHeight="true" outlineLevel="0" collapsed="false">
      <c r="A124" s="51" t="s">
        <v>1547</v>
      </c>
      <c r="B124" s="79" t="str">
        <f aca="false">IFERROR(__xludf.dummyfunction("""COMPUTED_VALUE"""),"Oregon Ash")</f>
        <v>Oregon Ash</v>
      </c>
      <c r="C124" s="80" t="n">
        <f aca="false">IFERROR(__xludf.dummyfunction("""COMPUTED_VALUE"""),610)</f>
        <v>610</v>
      </c>
      <c r="D124" s="82" t="n">
        <f aca="false">IFERROR(__xludf.dummyfunction("""COMPUTED_VALUE"""),0.375692307692308)</f>
        <v>0.375692307692308</v>
      </c>
      <c r="E124" s="77" t="n">
        <f aca="false">IFERROR(__xludf.dummyfunction("""COMPUTED_VALUE"""),9380000000)</f>
        <v>9380000000</v>
      </c>
      <c r="F124" s="77" t="n">
        <f aca="false">IFERROR(__xludf.dummyfunction("""COMPUTED_VALUE"""),87600000)</f>
        <v>87600000</v>
      </c>
      <c r="G124" s="81" t="n">
        <f aca="false">IFERROR(__xludf.dummyfunction("""COMPUTED_VALUE"""),0)</f>
        <v>0</v>
      </c>
      <c r="H124" s="81" t="n">
        <f aca="false">IFERROR(__xludf.dummyfunction("""COMPUTED_VALUE"""),41700000)</f>
        <v>41700000</v>
      </c>
      <c r="I124" s="77" t="n">
        <f aca="false">IFERROR(__xludf.dummyfunction("""COMPUTED_VALUE"""),1)</f>
        <v>1</v>
      </c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</row>
    <row r="125" customFormat="false" ht="15.75" hidden="false" customHeight="true" outlineLevel="0" collapsed="false">
      <c r="A125" s="51" t="s">
        <v>1547</v>
      </c>
      <c r="B125" s="79" t="str">
        <f aca="false">IFERROR(__xludf.dummyfunction("""COMPUTED_VALUE"""),"Koa (Acacia)")</f>
        <v>Koa (Acacia)</v>
      </c>
      <c r="C125" s="80" t="n">
        <f aca="false">IFERROR(__xludf.dummyfunction("""COMPUTED_VALUE"""),610)</f>
        <v>610</v>
      </c>
      <c r="D125" s="82" t="n">
        <f aca="false">IFERROR(__xludf.dummyfunction("""COMPUTED_VALUE"""),0.375692307692308)</f>
        <v>0.375692307692308</v>
      </c>
      <c r="E125" s="77" t="n">
        <f aca="false">IFERROR(__xludf.dummyfunction("""COMPUTED_VALUE"""),10370000000)</f>
        <v>10370000000</v>
      </c>
      <c r="F125" s="77" t="n">
        <f aca="false">IFERROR(__xludf.dummyfunction("""COMPUTED_VALUE"""),87000000)</f>
        <v>87000000</v>
      </c>
      <c r="G125" s="81" t="n">
        <f aca="false">IFERROR(__xludf.dummyfunction("""COMPUTED_VALUE"""),0)</f>
        <v>0</v>
      </c>
      <c r="H125" s="81" t="n">
        <f aca="false">IFERROR(__xludf.dummyfunction("""COMPUTED_VALUE"""),48700000)</f>
        <v>48700000</v>
      </c>
      <c r="I125" s="77" t="n">
        <f aca="false">IFERROR(__xludf.dummyfunction("""COMPUTED_VALUE"""),1)</f>
        <v>1</v>
      </c>
      <c r="J125" s="81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</row>
    <row r="126" customFormat="false" ht="15.75" hidden="false" customHeight="true" outlineLevel="0" collapsed="false">
      <c r="A126" s="51" t="s">
        <v>1547</v>
      </c>
      <c r="B126" s="79" t="str">
        <f aca="false">IFERROR(__xludf.dummyfunction("""COMPUTED_VALUE"""),"Sycamore Maple (European Maple, violins)")</f>
        <v>Sycamore Maple (European Maple, violins)</v>
      </c>
      <c r="C126" s="83" t="n">
        <f aca="false">IFERROR(__xludf.dummyfunction("""COMPUTED_VALUE"""),615)</f>
        <v>615</v>
      </c>
      <c r="D126" s="82" t="n">
        <f aca="false">IFERROR(__xludf.dummyfunction("""COMPUTED_VALUE"""),0.375692307692308)</f>
        <v>0.375692307692308</v>
      </c>
      <c r="E126" s="77" t="n">
        <f aca="false">IFERROR(__xludf.dummyfunction("""COMPUTED_VALUE"""),9920000000)</f>
        <v>9920000000</v>
      </c>
      <c r="F126" s="77" t="n">
        <f aca="false">IFERROR(__xludf.dummyfunction("""COMPUTED_VALUE"""),98100000)</f>
        <v>98100000</v>
      </c>
      <c r="G126" s="81" t="n">
        <f aca="false">IFERROR(__xludf.dummyfunction("""COMPUTED_VALUE"""),0)</f>
        <v>0</v>
      </c>
      <c r="H126" s="81" t="n">
        <f aca="false">IFERROR(__xludf.dummyfunction("""COMPUTED_VALUE"""),55000000)</f>
        <v>55000000</v>
      </c>
      <c r="I126" s="77" t="n">
        <f aca="false">IFERROR(__xludf.dummyfunction("""COMPUTED_VALUE"""),1)</f>
        <v>1</v>
      </c>
      <c r="J126" s="81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</row>
    <row r="127" customFormat="false" ht="15.75" hidden="false" customHeight="true" outlineLevel="0" collapsed="false">
      <c r="A127" s="51" t="s">
        <v>1547</v>
      </c>
      <c r="B127" s="79" t="str">
        <f aca="false">IFERROR(__xludf.dummyfunction("""COMPUTED_VALUE"""),"Nyatoh")</f>
        <v>Nyatoh</v>
      </c>
      <c r="C127" s="80" t="n">
        <f aca="false">IFERROR(__xludf.dummyfunction("""COMPUTED_VALUE"""),620)</f>
        <v>620</v>
      </c>
      <c r="D127" s="82" t="n">
        <f aca="false">IFERROR(__xludf.dummyfunction("""COMPUTED_VALUE"""),0.375692307692308)</f>
        <v>0.375692307692308</v>
      </c>
      <c r="E127" s="77" t="n">
        <f aca="false">IFERROR(__xludf.dummyfunction("""COMPUTED_VALUE"""),13370000000)</f>
        <v>13370000000</v>
      </c>
      <c r="F127" s="77" t="n">
        <f aca="false">IFERROR(__xludf.dummyfunction("""COMPUTED_VALUE"""),96000000)</f>
        <v>96000000</v>
      </c>
      <c r="G127" s="81" t="n">
        <f aca="false">IFERROR(__xludf.dummyfunction("""COMPUTED_VALUE"""),0)</f>
        <v>0</v>
      </c>
      <c r="H127" s="81" t="n">
        <f aca="false">IFERROR(__xludf.dummyfunction("""COMPUTED_VALUE"""),54400000)</f>
        <v>54400000</v>
      </c>
      <c r="I127" s="77" t="n">
        <f aca="false">IFERROR(__xludf.dummyfunction("""COMPUTED_VALUE"""),1)</f>
        <v>1</v>
      </c>
      <c r="J127" s="81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</row>
    <row r="128" customFormat="false" ht="15.75" hidden="false" customHeight="true" outlineLevel="0" collapsed="false">
      <c r="A128" s="51" t="s">
        <v>1547</v>
      </c>
      <c r="B128" s="79" t="str">
        <f aca="false">IFERROR(__xludf.dummyfunction("""COMPUTED_VALUE"""),"California Black Oak")</f>
        <v>California Black Oak</v>
      </c>
      <c r="C128" s="80" t="n">
        <f aca="false">IFERROR(__xludf.dummyfunction("""COMPUTED_VALUE"""),620)</f>
        <v>620</v>
      </c>
      <c r="D128" s="82" t="n">
        <f aca="false">IFERROR(__xludf.dummyfunction("""COMPUTED_VALUE"""),0.375692307692308)</f>
        <v>0.375692307692308</v>
      </c>
      <c r="E128" s="77" t="n">
        <f aca="false">IFERROR(__xludf.dummyfunction("""COMPUTED_VALUE"""),6760000000)</f>
        <v>6760000000</v>
      </c>
      <c r="F128" s="77" t="n">
        <f aca="false">IFERROR(__xludf.dummyfunction("""COMPUTED_VALUE"""),59400000)</f>
        <v>59400000</v>
      </c>
      <c r="G128" s="81" t="n">
        <f aca="false">IFERROR(__xludf.dummyfunction("""COMPUTED_VALUE"""),0)</f>
        <v>0</v>
      </c>
      <c r="H128" s="81" t="n">
        <f aca="false">IFERROR(__xludf.dummyfunction("""COMPUTED_VALUE"""),38900000)</f>
        <v>38900000</v>
      </c>
      <c r="I128" s="77" t="n">
        <f aca="false">IFERROR(__xludf.dummyfunction("""COMPUTED_VALUE"""),1)</f>
        <v>1</v>
      </c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</row>
    <row r="129" customFormat="false" ht="15.75" hidden="false" customHeight="true" outlineLevel="0" collapsed="false">
      <c r="A129" s="51" t="s">
        <v>1547</v>
      </c>
      <c r="B129" s="79" t="str">
        <f aca="false">IFERROR(__xludf.dummyfunction("""COMPUTED_VALUE"""),"Oregon Myrtle")</f>
        <v>Oregon Myrtle</v>
      </c>
      <c r="C129" s="80" t="n">
        <f aca="false">IFERROR(__xludf.dummyfunction("""COMPUTED_VALUE"""),635)</f>
        <v>635</v>
      </c>
      <c r="D129" s="82" t="n">
        <f aca="false">IFERROR(__xludf.dummyfunction("""COMPUTED_VALUE"""),0.375692307692308)</f>
        <v>0.375692307692308</v>
      </c>
      <c r="E129" s="77" t="n">
        <f aca="false">IFERROR(__xludf.dummyfunction("""COMPUTED_VALUE"""),8450000000)</f>
        <v>8450000000</v>
      </c>
      <c r="F129" s="77" t="n">
        <f aca="false">IFERROR(__xludf.dummyfunction("""COMPUTED_VALUE"""),66900000)</f>
        <v>66900000</v>
      </c>
      <c r="G129" s="81" t="n">
        <f aca="false">IFERROR(__xludf.dummyfunction("""COMPUTED_VALUE"""),0)</f>
        <v>0</v>
      </c>
      <c r="H129" s="81" t="n">
        <f aca="false">IFERROR(__xludf.dummyfunction("""COMPUTED_VALUE"""),38900000)</f>
        <v>38900000</v>
      </c>
      <c r="I129" s="77" t="n">
        <f aca="false">IFERROR(__xludf.dummyfunction("""COMPUTED_VALUE"""),1)</f>
        <v>1</v>
      </c>
      <c r="J129" s="81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</row>
    <row r="130" customFormat="false" ht="15.75" hidden="false" customHeight="true" outlineLevel="0" collapsed="false">
      <c r="A130" s="51" t="s">
        <v>1547</v>
      </c>
      <c r="B130" s="79" t="str">
        <f aca="false">IFERROR(__xludf.dummyfunction("""COMPUTED_VALUE"""),"Utile (Sipo)")</f>
        <v>Utile (Sipo)</v>
      </c>
      <c r="C130" s="80" t="n">
        <f aca="false">IFERROR(__xludf.dummyfunction("""COMPUTED_VALUE"""),635)</f>
        <v>635</v>
      </c>
      <c r="D130" s="82" t="n">
        <f aca="false">IFERROR(__xludf.dummyfunction("""COMPUTED_VALUE"""),0.375692307692308)</f>
        <v>0.375692307692308</v>
      </c>
      <c r="E130" s="77" t="n">
        <f aca="false">IFERROR(__xludf.dummyfunction("""COMPUTED_VALUE"""),11650000000)</f>
        <v>11650000000</v>
      </c>
      <c r="F130" s="77" t="n">
        <f aca="false">IFERROR(__xludf.dummyfunction("""COMPUTED_VALUE"""),103800000)</f>
        <v>103800000</v>
      </c>
      <c r="G130" s="81" t="n">
        <f aca="false">IFERROR(__xludf.dummyfunction("""COMPUTED_VALUE"""),0)</f>
        <v>0</v>
      </c>
      <c r="H130" s="81" t="n">
        <f aca="false">IFERROR(__xludf.dummyfunction("""COMPUTED_VALUE"""),57100000)</f>
        <v>57100000</v>
      </c>
      <c r="I130" s="77" t="n">
        <f aca="false">IFERROR(__xludf.dummyfunction("""COMPUTED_VALUE"""),1)</f>
        <v>1</v>
      </c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</row>
    <row r="131" customFormat="false" ht="15.75" hidden="false" customHeight="true" outlineLevel="0" collapsed="false">
      <c r="A131" s="51" t="s">
        <v>1547</v>
      </c>
      <c r="B131" s="79" t="str">
        <f aca="false">IFERROR(__xludf.dummyfunction("""COMPUTED_VALUE"""),"Australian Blackwood (Tasmanian Acacia)")</f>
        <v>Australian Blackwood (Tasmanian Acacia)</v>
      </c>
      <c r="C131" s="80" t="n">
        <f aca="false">IFERROR(__xludf.dummyfunction("""COMPUTED_VALUE"""),640)</f>
        <v>640</v>
      </c>
      <c r="D131" s="82" t="n">
        <f aca="false">IFERROR(__xludf.dummyfunction("""COMPUTED_VALUE"""),0.375692307692308)</f>
        <v>0.375692307692308</v>
      </c>
      <c r="E131" s="77" t="n">
        <f aca="false">IFERROR(__xludf.dummyfunction("""COMPUTED_VALUE"""),14820000000)</f>
        <v>14820000000</v>
      </c>
      <c r="F131" s="77" t="n">
        <f aca="false">IFERROR(__xludf.dummyfunction("""COMPUTED_VALUE"""),103600000)</f>
        <v>103600000</v>
      </c>
      <c r="G131" s="81" t="n">
        <f aca="false">IFERROR(__xludf.dummyfunction("""COMPUTED_VALUE"""),0)</f>
        <v>0</v>
      </c>
      <c r="H131" s="81" t="n">
        <f aca="false">IFERROR(__xludf.dummyfunction("""COMPUTED_VALUE"""),41000000)</f>
        <v>41000000</v>
      </c>
      <c r="I131" s="77" t="n">
        <f aca="false">IFERROR(__xludf.dummyfunction("""COMPUTED_VALUE"""),1)</f>
        <v>1</v>
      </c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</row>
    <row r="132" customFormat="false" ht="15.75" hidden="false" customHeight="true" outlineLevel="0" collapsed="false">
      <c r="A132" s="51" t="s">
        <v>1547</v>
      </c>
      <c r="B132" s="79" t="str">
        <f aca="false">IFERROR(__xludf.dummyfunction("""COMPUTED_VALUE"""),"Green Ash")</f>
        <v>Green Ash</v>
      </c>
      <c r="C132" s="80" t="n">
        <f aca="false">IFERROR(__xludf.dummyfunction("""COMPUTED_VALUE"""),640)</f>
        <v>640</v>
      </c>
      <c r="D132" s="82" t="n">
        <f aca="false">IFERROR(__xludf.dummyfunction("""COMPUTED_VALUE"""),0.375692307692308)</f>
        <v>0.375692307692308</v>
      </c>
      <c r="E132" s="77" t="n">
        <f aca="false">IFERROR(__xludf.dummyfunction("""COMPUTED_VALUE"""),11400000000)</f>
        <v>11400000000</v>
      </c>
      <c r="F132" s="77" t="n">
        <f aca="false">IFERROR(__xludf.dummyfunction("""COMPUTED_VALUE"""),97200000)</f>
        <v>97200000</v>
      </c>
      <c r="G132" s="81" t="n">
        <f aca="false">IFERROR(__xludf.dummyfunction("""COMPUTED_VALUE"""),0)</f>
        <v>0</v>
      </c>
      <c r="H132" s="81" t="n">
        <f aca="false">IFERROR(__xludf.dummyfunction("""COMPUTED_VALUE"""),48800000)</f>
        <v>48800000</v>
      </c>
      <c r="I132" s="77" t="n">
        <f aca="false">IFERROR(__xludf.dummyfunction("""COMPUTED_VALUE"""),1)</f>
        <v>1</v>
      </c>
      <c r="J132" s="81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</row>
    <row r="133" customFormat="false" ht="15.75" hidden="false" customHeight="true" outlineLevel="0" collapsed="false">
      <c r="A133" s="51" t="s">
        <v>1547</v>
      </c>
      <c r="B133" s="79" t="str">
        <f aca="false">IFERROR(__xludf.dummyfunction("""COMPUTED_VALUE"""),"Holly")</f>
        <v>Holly</v>
      </c>
      <c r="C133" s="80" t="n">
        <f aca="false">IFERROR(__xludf.dummyfunction("""COMPUTED_VALUE"""),640)</f>
        <v>640</v>
      </c>
      <c r="D133" s="82" t="n">
        <f aca="false">IFERROR(__xludf.dummyfunction("""COMPUTED_VALUE"""),0.375692307692308)</f>
        <v>0.375692307692308</v>
      </c>
      <c r="E133" s="77" t="n">
        <f aca="false">IFERROR(__xludf.dummyfunction("""COMPUTED_VALUE"""),7660000000)</f>
        <v>7660000000</v>
      </c>
      <c r="F133" s="77" t="n">
        <f aca="false">IFERROR(__xludf.dummyfunction("""COMPUTED_VALUE"""),71000000)</f>
        <v>71000000</v>
      </c>
      <c r="G133" s="81" t="n">
        <f aca="false">IFERROR(__xludf.dummyfunction("""COMPUTED_VALUE"""),0)</f>
        <v>0</v>
      </c>
      <c r="H133" s="81" t="n">
        <f aca="false">IFERROR(__xludf.dummyfunction("""COMPUTED_VALUE"""),38200000)</f>
        <v>38200000</v>
      </c>
      <c r="I133" s="77" t="n">
        <f aca="false">IFERROR(__xludf.dummyfunction("""COMPUTED_VALUE"""),1)</f>
        <v>1</v>
      </c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</row>
    <row r="134" customFormat="false" ht="15.75" hidden="false" customHeight="true" outlineLevel="0" collapsed="false">
      <c r="A134" s="51" t="s">
        <v>1547</v>
      </c>
      <c r="B134" s="79" t="str">
        <f aca="false">IFERROR(__xludf.dummyfunction("""COMPUTED_VALUE"""),"English Walnut")</f>
        <v>English Walnut</v>
      </c>
      <c r="C134" s="80" t="n">
        <f aca="false">IFERROR(__xludf.dummyfunction("""COMPUTED_VALUE"""),640)</f>
        <v>640</v>
      </c>
      <c r="D134" s="82" t="n">
        <f aca="false">IFERROR(__xludf.dummyfunction("""COMPUTED_VALUE"""),0.495)</f>
        <v>0.495</v>
      </c>
      <c r="E134" s="77" t="n">
        <f aca="false">IFERROR(__xludf.dummyfunction("""COMPUTED_VALUE"""),10810000000)</f>
        <v>10810000000</v>
      </c>
      <c r="F134" s="77" t="n">
        <f aca="false">IFERROR(__xludf.dummyfunction("""COMPUTED_VALUE"""),111500000)</f>
        <v>111500000</v>
      </c>
      <c r="G134" s="81" t="n">
        <f aca="false">IFERROR(__xludf.dummyfunction("""COMPUTED_VALUE"""),0)</f>
        <v>0</v>
      </c>
      <c r="H134" s="81" t="n">
        <f aca="false">IFERROR(__xludf.dummyfunction("""COMPUTED_VALUE"""),50200000)</f>
        <v>50200000</v>
      </c>
      <c r="I134" s="77" t="n">
        <f aca="false">IFERROR(__xludf.dummyfunction("""COMPUTED_VALUE"""),1)</f>
        <v>1</v>
      </c>
      <c r="J134" s="81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</row>
    <row r="135" customFormat="false" ht="15.75" hidden="false" customHeight="true" outlineLevel="0" collapsed="false">
      <c r="A135" s="51" t="s">
        <v>1547</v>
      </c>
      <c r="B135" s="79" t="str">
        <f aca="false">IFERROR(__xludf.dummyfunction("""COMPUTED_VALUE"""),"Redheart")</f>
        <v>Redheart</v>
      </c>
      <c r="C135" s="80" t="n">
        <f aca="false">IFERROR(__xludf.dummyfunction("""COMPUTED_VALUE"""),640)</f>
        <v>640</v>
      </c>
      <c r="D135" s="82" t="n">
        <f aca="false">IFERROR(__xludf.dummyfunction("""COMPUTED_VALUE"""),0.375692307692308)</f>
        <v>0.375692307692308</v>
      </c>
      <c r="E135" s="77" t="n">
        <f aca="false">IFERROR(__xludf.dummyfunction("""COMPUTED_VALUE"""),10320000000)</f>
        <v>10320000000</v>
      </c>
      <c r="F135" s="77" t="n">
        <f aca="false">IFERROR(__xludf.dummyfunction("""COMPUTED_VALUE"""),98700000)</f>
        <v>98700000</v>
      </c>
      <c r="G135" s="81" t="n">
        <f aca="false">IFERROR(__xludf.dummyfunction("""COMPUTED_VALUE"""),0)</f>
        <v>0</v>
      </c>
      <c r="H135" s="81" t="n">
        <f aca="false">IFERROR(__xludf.dummyfunction("""COMPUTED_VALUE"""),46200000)</f>
        <v>46200000</v>
      </c>
      <c r="I135" s="77" t="n">
        <f aca="false">IFERROR(__xludf.dummyfunction("""COMPUTED_VALUE"""),1)</f>
        <v>1</v>
      </c>
      <c r="J135" s="81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</row>
    <row r="136" customFormat="false" ht="15.75" hidden="false" customHeight="true" outlineLevel="0" collapsed="false">
      <c r="A136" s="51" t="s">
        <v>1547</v>
      </c>
      <c r="B136" s="79" t="str">
        <f aca="false">IFERROR(__xludf.dummyfunction("""COMPUTED_VALUE"""),"Claro Walnut (California Black)")</f>
        <v>Claro Walnut (California Black)</v>
      </c>
      <c r="C136" s="83" t="n">
        <f aca="false">IFERROR(__xludf.dummyfunction("""COMPUTED_VALUE"""),640)</f>
        <v>640</v>
      </c>
      <c r="D136" s="82" t="n">
        <f aca="false">IFERROR(__xludf.dummyfunction("""COMPUTED_VALUE"""),0.495)</f>
        <v>0.495</v>
      </c>
      <c r="E136" s="77" t="n">
        <f aca="false">IFERROR(__xludf.dummyfunction("""COMPUTED_VALUE"""),11590000000)</f>
        <v>11590000000</v>
      </c>
      <c r="F136" s="77"/>
      <c r="G136" s="81" t="n">
        <f aca="false">IFERROR(__xludf.dummyfunction("""COMPUTED_VALUE"""),0)</f>
        <v>0</v>
      </c>
      <c r="H136" s="81"/>
      <c r="I136" s="77" t="n">
        <f aca="false">IFERROR(__xludf.dummyfunction("""COMPUTED_VALUE"""),1)</f>
        <v>1</v>
      </c>
      <c r="J136" s="81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</row>
    <row r="137" customFormat="false" ht="15.75" hidden="false" customHeight="true" outlineLevel="0" collapsed="false">
      <c r="A137" s="51" t="s">
        <v>1547</v>
      </c>
      <c r="B137" s="79" t="str">
        <f aca="false">IFERROR(__xludf.dummyfunction("""COMPUTED_VALUE"""),"Black Maple")</f>
        <v>Black Maple</v>
      </c>
      <c r="C137" s="80" t="n">
        <f aca="false">IFERROR(__xludf.dummyfunction("""COMPUTED_VALUE"""),640)</f>
        <v>640</v>
      </c>
      <c r="D137" s="82" t="n">
        <f aca="false">IFERROR(__xludf.dummyfunction("""COMPUTED_VALUE"""),0.424)</f>
        <v>0.424</v>
      </c>
      <c r="E137" s="77" t="n">
        <f aca="false">IFERROR(__xludf.dummyfunction("""COMPUTED_VALUE"""),11170000000)</f>
        <v>11170000000</v>
      </c>
      <c r="F137" s="77" t="n">
        <f aca="false">IFERROR(__xludf.dummyfunction("""COMPUTED_VALUE"""),91700000)</f>
        <v>91700000</v>
      </c>
      <c r="G137" s="81" t="n">
        <f aca="false">IFERROR(__xludf.dummyfunction("""COMPUTED_VALUE"""),0)</f>
        <v>0</v>
      </c>
      <c r="H137" s="81" t="n">
        <f aca="false">IFERROR(__xludf.dummyfunction("""COMPUTED_VALUE"""),46100000)</f>
        <v>46100000</v>
      </c>
      <c r="I137" s="77" t="n">
        <f aca="false">IFERROR(__xludf.dummyfunction("""COMPUTED_VALUE"""),1)</f>
        <v>1</v>
      </c>
      <c r="J137" s="81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</row>
    <row r="138" customFormat="false" ht="15.75" hidden="false" customHeight="true" outlineLevel="0" collapsed="false">
      <c r="A138" s="51" t="s">
        <v>1547</v>
      </c>
      <c r="B138" s="79" t="str">
        <f aca="false">IFERROR(__xludf.dummyfunction("""COMPUTED_VALUE"""),"Norway Maple (violins)")</f>
        <v>Norway Maple (violins)</v>
      </c>
      <c r="C138" s="80" t="n">
        <f aca="false">IFERROR(__xludf.dummyfunction("""COMPUTED_VALUE"""),645)</f>
        <v>645</v>
      </c>
      <c r="D138" s="82" t="n">
        <f aca="false">IFERROR(__xludf.dummyfunction("""COMPUTED_VALUE"""),0.375692307692308)</f>
        <v>0.375692307692308</v>
      </c>
      <c r="E138" s="77" t="n">
        <f aca="false">IFERROR(__xludf.dummyfunction("""COMPUTED_VALUE"""),10600000000)</f>
        <v>10600000000</v>
      </c>
      <c r="F138" s="77" t="n">
        <f aca="false">IFERROR(__xludf.dummyfunction("""COMPUTED_VALUE"""),115000000)</f>
        <v>115000000</v>
      </c>
      <c r="G138" s="81" t="n">
        <f aca="false">IFERROR(__xludf.dummyfunction("""COMPUTED_VALUE"""),0)</f>
        <v>0</v>
      </c>
      <c r="H138" s="81" t="n">
        <f aca="false">IFERROR(__xludf.dummyfunction("""COMPUTED_VALUE"""),59000000)</f>
        <v>59000000</v>
      </c>
      <c r="I138" s="77" t="n">
        <f aca="false">IFERROR(__xludf.dummyfunction("""COMPUTED_VALUE"""),1)</f>
        <v>1</v>
      </c>
      <c r="J138" s="81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</row>
    <row r="139" customFormat="false" ht="15.75" hidden="false" customHeight="true" outlineLevel="0" collapsed="false">
      <c r="A139" s="51" t="s">
        <v>1547</v>
      </c>
      <c r="B139" s="79" t="str">
        <f aca="false">IFERROR(__xludf.dummyfunction("""COMPUTED_VALUE"""),"Longleaf Pine")</f>
        <v>Longleaf Pine</v>
      </c>
      <c r="C139" s="80" t="n">
        <f aca="false">IFERROR(__xludf.dummyfunction("""COMPUTED_VALUE"""),650)</f>
        <v>650</v>
      </c>
      <c r="D139" s="82" t="n">
        <f aca="false">IFERROR(__xludf.dummyfunction("""COMPUTED_VALUE"""),0.332)</f>
        <v>0.332</v>
      </c>
      <c r="E139" s="77" t="n">
        <f aca="false">IFERROR(__xludf.dummyfunction("""COMPUTED_VALUE"""),13700000000)</f>
        <v>13700000000</v>
      </c>
      <c r="F139" s="77" t="n">
        <f aca="false">IFERROR(__xludf.dummyfunction("""COMPUTED_VALUE"""),100000000)</f>
        <v>100000000</v>
      </c>
      <c r="G139" s="81" t="n">
        <f aca="false">IFERROR(__xludf.dummyfunction("""COMPUTED_VALUE"""),0)</f>
        <v>0</v>
      </c>
      <c r="H139" s="81" t="n">
        <f aca="false">IFERROR(__xludf.dummyfunction("""COMPUTED_VALUE"""),58400000)</f>
        <v>58400000</v>
      </c>
      <c r="I139" s="77" t="n">
        <f aca="false">IFERROR(__xludf.dummyfunction("""COMPUTED_VALUE"""),1)</f>
        <v>1</v>
      </c>
      <c r="J139" s="81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</row>
    <row r="140" customFormat="false" ht="15.75" hidden="false" customHeight="true" outlineLevel="0" collapsed="false">
      <c r="A140" s="51" t="s">
        <v>1547</v>
      </c>
      <c r="B140" s="79" t="str">
        <f aca="false">IFERROR(__xludf.dummyfunction("""COMPUTED_VALUE"""),"Slash Pine")</f>
        <v>Slash Pine</v>
      </c>
      <c r="C140" s="80" t="n">
        <f aca="false">IFERROR(__xludf.dummyfunction("""COMPUTED_VALUE"""),655)</f>
        <v>655</v>
      </c>
      <c r="D140" s="82" t="n">
        <f aca="false">IFERROR(__xludf.dummyfunction("""COMPUTED_VALUE"""),0.332)</f>
        <v>0.332</v>
      </c>
      <c r="E140" s="77" t="n">
        <f aca="false">IFERROR(__xludf.dummyfunction("""COMPUTED_VALUE"""),13700000000)</f>
        <v>13700000000</v>
      </c>
      <c r="F140" s="77" t="n">
        <f aca="false">IFERROR(__xludf.dummyfunction("""COMPUTED_VALUE"""),112400000)</f>
        <v>112400000</v>
      </c>
      <c r="G140" s="81" t="n">
        <f aca="false">IFERROR(__xludf.dummyfunction("""COMPUTED_VALUE"""),0)</f>
        <v>0</v>
      </c>
      <c r="H140" s="81" t="n">
        <f aca="false">IFERROR(__xludf.dummyfunction("""COMPUTED_VALUE"""),56100000)</f>
        <v>56100000</v>
      </c>
      <c r="I140" s="77" t="n">
        <f aca="false">IFERROR(__xludf.dummyfunction("""COMPUTED_VALUE"""),1)</f>
        <v>1</v>
      </c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</row>
    <row r="141" customFormat="false" ht="15.75" hidden="false" customHeight="true" outlineLevel="0" collapsed="false">
      <c r="A141" s="51" t="s">
        <v>1547</v>
      </c>
      <c r="B141" s="79" t="str">
        <f aca="false">IFERROR(__xludf.dummyfunction("""COMPUTED_VALUE"""),"Teak")</f>
        <v>Teak</v>
      </c>
      <c r="C141" s="80" t="n">
        <f aca="false">IFERROR(__xludf.dummyfunction("""COMPUTED_VALUE"""),655)</f>
        <v>655</v>
      </c>
      <c r="D141" s="82" t="n">
        <f aca="false">IFERROR(__xludf.dummyfunction("""COMPUTED_VALUE"""),0.375692307692308)</f>
        <v>0.375692307692308</v>
      </c>
      <c r="E141" s="77" t="n">
        <f aca="false">IFERROR(__xludf.dummyfunction("""COMPUTED_VALUE"""),12280000000)</f>
        <v>12280000000</v>
      </c>
      <c r="F141" s="77" t="n">
        <f aca="false">IFERROR(__xludf.dummyfunction("""COMPUTED_VALUE"""),97100000)</f>
        <v>97100000</v>
      </c>
      <c r="G141" s="81" t="n">
        <f aca="false">IFERROR(__xludf.dummyfunction("""COMPUTED_VALUE"""),0)</f>
        <v>0</v>
      </c>
      <c r="H141" s="81" t="n">
        <f aca="false">IFERROR(__xludf.dummyfunction("""COMPUTED_VALUE"""),54800000)</f>
        <v>54800000</v>
      </c>
      <c r="I141" s="77" t="n">
        <f aca="false">IFERROR(__xludf.dummyfunction("""COMPUTED_VALUE"""),1)</f>
        <v>1</v>
      </c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</row>
    <row r="142" customFormat="false" ht="15.75" hidden="false" customHeight="true" outlineLevel="0" collapsed="false">
      <c r="A142" s="51" t="s">
        <v>1547</v>
      </c>
      <c r="B142" s="79" t="str">
        <f aca="false">IFERROR(__xludf.dummyfunction("""COMPUTED_VALUE"""),"Narra")</f>
        <v>Narra</v>
      </c>
      <c r="C142" s="80" t="n">
        <f aca="false">IFERROR(__xludf.dummyfunction("""COMPUTED_VALUE"""),655)</f>
        <v>655</v>
      </c>
      <c r="D142" s="82" t="n">
        <f aca="false">IFERROR(__xludf.dummyfunction("""COMPUTED_VALUE"""),0.375692307692308)</f>
        <v>0.375692307692308</v>
      </c>
      <c r="E142" s="77" t="n">
        <f aca="false">IFERROR(__xludf.dummyfunction("""COMPUTED_VALUE"""),11890000000)</f>
        <v>11890000000</v>
      </c>
      <c r="F142" s="77" t="n">
        <f aca="false">IFERROR(__xludf.dummyfunction("""COMPUTED_VALUE"""),96300000)</f>
        <v>96300000</v>
      </c>
      <c r="G142" s="81" t="n">
        <f aca="false">IFERROR(__xludf.dummyfunction("""COMPUTED_VALUE"""),0)</f>
        <v>0</v>
      </c>
      <c r="H142" s="81" t="n">
        <f aca="false">IFERROR(__xludf.dummyfunction("""COMPUTED_VALUE"""),57000000)</f>
        <v>57000000</v>
      </c>
      <c r="I142" s="77" t="n">
        <f aca="false">IFERROR(__xludf.dummyfunction("""COMPUTED_VALUE"""),1)</f>
        <v>1</v>
      </c>
      <c r="J142" s="81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</row>
    <row r="143" customFormat="false" ht="15.75" hidden="false" customHeight="true" outlineLevel="0" collapsed="false">
      <c r="A143" s="51" t="s">
        <v>1547</v>
      </c>
      <c r="B143" s="79" t="str">
        <f aca="false">IFERROR(__xludf.dummyfunction("""COMPUTED_VALUE"""),"Iroko")</f>
        <v>Iroko</v>
      </c>
      <c r="C143" s="80" t="n">
        <f aca="false">IFERROR(__xludf.dummyfunction("""COMPUTED_VALUE"""),660)</f>
        <v>660</v>
      </c>
      <c r="D143" s="82" t="n">
        <f aca="false">IFERROR(__xludf.dummyfunction("""COMPUTED_VALUE"""),0.375692307692308)</f>
        <v>0.375692307692308</v>
      </c>
      <c r="E143" s="77" t="n">
        <f aca="false">IFERROR(__xludf.dummyfunction("""COMPUTED_VALUE"""),9380000000)</f>
        <v>9380000000</v>
      </c>
      <c r="F143" s="77" t="n">
        <f aca="false">IFERROR(__xludf.dummyfunction("""COMPUTED_VALUE"""),87600000)</f>
        <v>87600000</v>
      </c>
      <c r="G143" s="81" t="n">
        <f aca="false">IFERROR(__xludf.dummyfunction("""COMPUTED_VALUE"""),0)</f>
        <v>0</v>
      </c>
      <c r="H143" s="81" t="n">
        <f aca="false">IFERROR(__xludf.dummyfunction("""COMPUTED_VALUE"""),54000000)</f>
        <v>54000000</v>
      </c>
      <c r="I143" s="77" t="n">
        <f aca="false">IFERROR(__xludf.dummyfunction("""COMPUTED_VALUE"""),1)</f>
        <v>1</v>
      </c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</row>
    <row r="144" customFormat="false" ht="15.75" hidden="false" customHeight="true" outlineLevel="0" collapsed="false">
      <c r="A144" s="51" t="s">
        <v>1547</v>
      </c>
      <c r="B144" s="79" t="str">
        <f aca="false">IFERROR(__xludf.dummyfunction("""COMPUTED_VALUE"""),"Imbuia")</f>
        <v>Imbuia</v>
      </c>
      <c r="C144" s="80" t="n">
        <f aca="false">IFERROR(__xludf.dummyfunction("""COMPUTED_VALUE"""),660)</f>
        <v>660</v>
      </c>
      <c r="D144" s="82" t="n">
        <f aca="false">IFERROR(__xludf.dummyfunction("""COMPUTED_VALUE"""),0.375692307692308)</f>
        <v>0.375692307692308</v>
      </c>
      <c r="E144" s="77" t="n">
        <f aca="false">IFERROR(__xludf.dummyfunction("""COMPUTED_VALUE"""),9610000000)</f>
        <v>9610000000</v>
      </c>
      <c r="F144" s="77" t="n">
        <f aca="false">IFERROR(__xludf.dummyfunction("""COMPUTED_VALUE"""),84800000)</f>
        <v>84800000</v>
      </c>
      <c r="G144" s="81" t="n">
        <f aca="false">IFERROR(__xludf.dummyfunction("""COMPUTED_VALUE"""),0)</f>
        <v>0</v>
      </c>
      <c r="H144" s="81" t="n">
        <f aca="false">IFERROR(__xludf.dummyfunction("""COMPUTED_VALUE"""),46800000)</f>
        <v>46800000</v>
      </c>
      <c r="I144" s="77" t="n">
        <f aca="false">IFERROR(__xludf.dummyfunction("""COMPUTED_VALUE"""),1)</f>
        <v>1</v>
      </c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</row>
    <row r="145" customFormat="false" ht="15.75" hidden="false" customHeight="true" outlineLevel="0" collapsed="false">
      <c r="A145" s="51" t="s">
        <v>1547</v>
      </c>
      <c r="B145" s="79" t="str">
        <f aca="false">IFERROR(__xludf.dummyfunction("""COMPUTED_VALUE"""),"Sapele")</f>
        <v>Sapele</v>
      </c>
      <c r="C145" s="80" t="n">
        <f aca="false">IFERROR(__xludf.dummyfunction("""COMPUTED_VALUE"""),670)</f>
        <v>670</v>
      </c>
      <c r="D145" s="82" t="n">
        <f aca="false">IFERROR(__xludf.dummyfunction("""COMPUTED_VALUE"""),0.375692307692308)</f>
        <v>0.375692307692308</v>
      </c>
      <c r="E145" s="77" t="n">
        <f aca="false">IFERROR(__xludf.dummyfunction("""COMPUTED_VALUE"""),12350000000)</f>
        <v>12350000000</v>
      </c>
      <c r="F145" s="77" t="n">
        <f aca="false">IFERROR(__xludf.dummyfunction("""COMPUTED_VALUE"""),109900000)</f>
        <v>109900000</v>
      </c>
      <c r="G145" s="81" t="n">
        <f aca="false">IFERROR(__xludf.dummyfunction("""COMPUTED_VALUE"""),0)</f>
        <v>0</v>
      </c>
      <c r="H145" s="81" t="n">
        <f aca="false">IFERROR(__xludf.dummyfunction("""COMPUTED_VALUE"""),60400000)</f>
        <v>60400000</v>
      </c>
      <c r="I145" s="77" t="n">
        <f aca="false">IFERROR(__xludf.dummyfunction("""COMPUTED_VALUE"""),1)</f>
        <v>1</v>
      </c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</row>
    <row r="146" customFormat="false" ht="15.75" hidden="false" customHeight="true" outlineLevel="0" collapsed="false">
      <c r="A146" s="51" t="s">
        <v>1547</v>
      </c>
      <c r="B146" s="79" t="str">
        <f aca="false">IFERROR(__xludf.dummyfunction("""COMPUTED_VALUE"""),"Dark Red Meranti (Lauan)")</f>
        <v>Dark Red Meranti (Lauan)</v>
      </c>
      <c r="C146" s="80" t="n">
        <f aca="false">IFERROR(__xludf.dummyfunction("""COMPUTED_VALUE"""),675)</f>
        <v>675</v>
      </c>
      <c r="D146" s="82" t="n">
        <f aca="false">IFERROR(__xludf.dummyfunction("""COMPUTED_VALUE"""),0.375692307692308)</f>
        <v>0.375692307692308</v>
      </c>
      <c r="E146" s="77" t="n">
        <f aca="false">IFERROR(__xludf.dummyfunction("""COMPUTED_VALUE"""),12020000000)</f>
        <v>12020000000</v>
      </c>
      <c r="F146" s="77" t="n">
        <f aca="false">IFERROR(__xludf.dummyfunction("""COMPUTED_VALUE"""),87700000)</f>
        <v>87700000</v>
      </c>
      <c r="G146" s="81" t="n">
        <f aca="false">IFERROR(__xludf.dummyfunction("""COMPUTED_VALUE"""),0)</f>
        <v>0</v>
      </c>
      <c r="H146" s="81" t="n">
        <f aca="false">IFERROR(__xludf.dummyfunction("""COMPUTED_VALUE"""),48800000)</f>
        <v>48800000</v>
      </c>
      <c r="I146" s="77" t="n">
        <f aca="false">IFERROR(__xludf.dummyfunction("""COMPUTED_VALUE"""),1)</f>
        <v>1</v>
      </c>
      <c r="J146" s="81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</row>
    <row r="147" customFormat="false" ht="15.75" hidden="false" customHeight="true" outlineLevel="0" collapsed="false">
      <c r="A147" s="51" t="s">
        <v>1547</v>
      </c>
      <c r="B147" s="79" t="str">
        <f aca="false">IFERROR(__xludf.dummyfunction("""COMPUTED_VALUE"""),"White Ash")</f>
        <v>White Ash</v>
      </c>
      <c r="C147" s="80" t="n">
        <f aca="false">IFERROR(__xludf.dummyfunction("""COMPUTED_VALUE"""),675)</f>
        <v>675</v>
      </c>
      <c r="D147" s="82" t="n">
        <f aca="false">IFERROR(__xludf.dummyfunction("""COMPUTED_VALUE"""),0.371)</f>
        <v>0.371</v>
      </c>
      <c r="E147" s="77" t="n">
        <f aca="false">IFERROR(__xludf.dummyfunction("""COMPUTED_VALUE"""),12000000000)</f>
        <v>12000000000</v>
      </c>
      <c r="F147" s="77" t="n">
        <f aca="false">IFERROR(__xludf.dummyfunction("""COMPUTED_VALUE"""),103500000)</f>
        <v>103500000</v>
      </c>
      <c r="G147" s="81" t="n">
        <f aca="false">IFERROR(__xludf.dummyfunction("""COMPUTED_VALUE"""),0)</f>
        <v>0</v>
      </c>
      <c r="H147" s="81" t="n">
        <f aca="false">IFERROR(__xludf.dummyfunction("""COMPUTED_VALUE"""),51100000)</f>
        <v>51100000</v>
      </c>
      <c r="I147" s="77" t="n">
        <f aca="false">IFERROR(__xludf.dummyfunction("""COMPUTED_VALUE"""),1)</f>
        <v>1</v>
      </c>
      <c r="J147" s="81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</row>
    <row r="148" customFormat="false" ht="15.75" hidden="false" customHeight="true" outlineLevel="0" collapsed="false">
      <c r="A148" s="51" t="s">
        <v>1547</v>
      </c>
      <c r="B148" s="79" t="str">
        <f aca="false">IFERROR(__xludf.dummyfunction("""COMPUTED_VALUE"""),"European Yew")</f>
        <v>European Yew</v>
      </c>
      <c r="C148" s="80" t="n">
        <f aca="false">IFERROR(__xludf.dummyfunction("""COMPUTED_VALUE"""),675)</f>
        <v>675</v>
      </c>
      <c r="D148" s="82" t="n">
        <f aca="false">IFERROR(__xludf.dummyfunction("""COMPUTED_VALUE"""),0.375692307692308)</f>
        <v>0.375692307692308</v>
      </c>
      <c r="E148" s="77" t="n">
        <f aca="false">IFERROR(__xludf.dummyfunction("""COMPUTED_VALUE"""),10150000000)</f>
        <v>10150000000</v>
      </c>
      <c r="F148" s="77" t="n">
        <f aca="false">IFERROR(__xludf.dummyfunction("""COMPUTED_VALUE"""),96800000)</f>
        <v>96800000</v>
      </c>
      <c r="G148" s="81" t="n">
        <f aca="false">IFERROR(__xludf.dummyfunction("""COMPUTED_VALUE"""),0)</f>
        <v>0</v>
      </c>
      <c r="H148" s="81" t="n">
        <f aca="false">IFERROR(__xludf.dummyfunction("""COMPUTED_VALUE"""),58000000)</f>
        <v>58000000</v>
      </c>
      <c r="I148" s="77" t="n">
        <f aca="false">IFERROR(__xludf.dummyfunction("""COMPUTED_VALUE"""),1)</f>
        <v>1</v>
      </c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</row>
    <row r="149" customFormat="false" ht="15.75" hidden="false" customHeight="true" outlineLevel="0" collapsed="false">
      <c r="A149" s="51" t="s">
        <v>1547</v>
      </c>
      <c r="B149" s="79" t="str">
        <f aca="false">IFERROR(__xludf.dummyfunction("""COMPUTED_VALUE"""),"Tanoak")</f>
        <v>Tanoak</v>
      </c>
      <c r="C149" s="80" t="n">
        <f aca="false">IFERROR(__xludf.dummyfunction("""COMPUTED_VALUE"""),675)</f>
        <v>675</v>
      </c>
      <c r="D149" s="82" t="n">
        <f aca="false">IFERROR(__xludf.dummyfunction("""COMPUTED_VALUE"""),0.375692307692308)</f>
        <v>0.375692307692308</v>
      </c>
      <c r="E149" s="77" t="n">
        <f aca="false">IFERROR(__xludf.dummyfunction("""COMPUTED_VALUE"""),14290000000)</f>
        <v>14290000000</v>
      </c>
      <c r="F149" s="77" t="n">
        <f aca="false">IFERROR(__xludf.dummyfunction("""COMPUTED_VALUE"""),114800000)</f>
        <v>114800000</v>
      </c>
      <c r="G149" s="81" t="n">
        <f aca="false">IFERROR(__xludf.dummyfunction("""COMPUTED_VALUE"""),0)</f>
        <v>0</v>
      </c>
      <c r="H149" s="81" t="n">
        <f aca="false">IFERROR(__xludf.dummyfunction("""COMPUTED_VALUE"""),56900000)</f>
        <v>56900000</v>
      </c>
      <c r="I149" s="77" t="n">
        <f aca="false">IFERROR(__xludf.dummyfunction("""COMPUTED_VALUE"""),1)</f>
        <v>1</v>
      </c>
      <c r="J149" s="81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</row>
    <row r="150" customFormat="false" ht="15.75" hidden="false" customHeight="true" outlineLevel="0" collapsed="false">
      <c r="A150" s="51" t="s">
        <v>1547</v>
      </c>
      <c r="B150" s="79" t="str">
        <f aca="false">IFERROR(__xludf.dummyfunction("""COMPUTED_VALUE"""),"Bamboo")</f>
        <v>Bamboo</v>
      </c>
      <c r="C150" s="80" t="n">
        <f aca="false">IFERROR(__xludf.dummyfunction("""COMPUTED_VALUE"""),675)</f>
        <v>675</v>
      </c>
      <c r="D150" s="82" t="n">
        <f aca="false">IFERROR(__xludf.dummyfunction("""COMPUTED_VALUE"""),0.375692307692308)</f>
        <v>0.375692307692308</v>
      </c>
      <c r="E150" s="77" t="n">
        <f aca="false">IFERROR(__xludf.dummyfunction("""COMPUTED_VALUE"""),19000000000)</f>
        <v>19000000000</v>
      </c>
      <c r="F150" s="77" t="n">
        <f aca="false">IFERROR(__xludf.dummyfunction("""COMPUTED_VALUE"""),122000000)</f>
        <v>122000000</v>
      </c>
      <c r="G150" s="81" t="n">
        <f aca="false">IFERROR(__xludf.dummyfunction("""COMPUTED_VALUE"""),0)</f>
        <v>0</v>
      </c>
      <c r="H150" s="81" t="n">
        <f aca="false">IFERROR(__xludf.dummyfunction("""COMPUTED_VALUE"""),78000000)</f>
        <v>78000000</v>
      </c>
      <c r="I150" s="77" t="n">
        <f aca="false">IFERROR(__xludf.dummyfunction("""COMPUTED_VALUE"""),1)</f>
        <v>1</v>
      </c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</row>
    <row r="151" customFormat="false" ht="15.75" hidden="false" customHeight="true" outlineLevel="0" collapsed="false">
      <c r="A151" s="51" t="s">
        <v>1547</v>
      </c>
      <c r="B151" s="79" t="str">
        <f aca="false">IFERROR(__xludf.dummyfunction("""COMPUTED_VALUE"""),"European Ash")</f>
        <v>European Ash</v>
      </c>
      <c r="C151" s="80" t="n">
        <f aca="false">IFERROR(__xludf.dummyfunction("""COMPUTED_VALUE"""),680)</f>
        <v>680</v>
      </c>
      <c r="D151" s="82" t="n">
        <f aca="false">IFERROR(__xludf.dummyfunction("""COMPUTED_VALUE"""),0.375692307692308)</f>
        <v>0.375692307692308</v>
      </c>
      <c r="E151" s="77" t="n">
        <f aca="false">IFERROR(__xludf.dummyfunction("""COMPUTED_VALUE"""),12310000000)</f>
        <v>12310000000</v>
      </c>
      <c r="F151" s="77" t="n">
        <f aca="false">IFERROR(__xludf.dummyfunction("""COMPUTED_VALUE"""),103600000)</f>
        <v>103600000</v>
      </c>
      <c r="G151" s="81" t="n">
        <f aca="false">IFERROR(__xludf.dummyfunction("""COMPUTED_VALUE"""),0)</f>
        <v>0</v>
      </c>
      <c r="H151" s="81" t="n">
        <f aca="false">IFERROR(__xludf.dummyfunction("""COMPUTED_VALUE"""),51000000)</f>
        <v>51000000</v>
      </c>
      <c r="I151" s="77" t="n">
        <f aca="false">IFERROR(__xludf.dummyfunction("""COMPUTED_VALUE"""),1)</f>
        <v>1</v>
      </c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</row>
    <row r="152" customFormat="false" ht="15.75" hidden="false" customHeight="true" outlineLevel="0" collapsed="false">
      <c r="A152" s="51" t="s">
        <v>1547</v>
      </c>
      <c r="B152" s="79" t="str">
        <f aca="false">IFERROR(__xludf.dummyfunction("""COMPUTED_VALUE"""),"Yucatan Rosewood")</f>
        <v>Yucatan Rosewood</v>
      </c>
      <c r="C152" s="80" t="n">
        <f aca="false">IFERROR(__xludf.dummyfunction("""COMPUTED_VALUE"""),680)</f>
        <v>680</v>
      </c>
      <c r="D152" s="82" t="n">
        <f aca="false">IFERROR(__xludf.dummyfunction("""COMPUTED_VALUE"""),0.375692307692308)</f>
        <v>0.375692307692308</v>
      </c>
      <c r="E152" s="77" t="n">
        <f aca="false">IFERROR(__xludf.dummyfunction("""COMPUTED_VALUE"""),7760000000)</f>
        <v>7760000000</v>
      </c>
      <c r="F152" s="77" t="n">
        <f aca="false">IFERROR(__xludf.dummyfunction("""COMPUTED_VALUE"""),70100000)</f>
        <v>70100000</v>
      </c>
      <c r="G152" s="81" t="n">
        <f aca="false">IFERROR(__xludf.dummyfunction("""COMPUTED_VALUE"""),0)</f>
        <v>0</v>
      </c>
      <c r="H152" s="81" t="n">
        <f aca="false">IFERROR(__xludf.dummyfunction("""COMPUTED_VALUE"""),36200000)</f>
        <v>36200000</v>
      </c>
      <c r="I152" s="77" t="n">
        <f aca="false">IFERROR(__xludf.dummyfunction("""COMPUTED_VALUE"""),1)</f>
        <v>1</v>
      </c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</row>
    <row r="153" customFormat="false" ht="15.75" hidden="false" customHeight="true" outlineLevel="0" collapsed="false">
      <c r="A153" s="51" t="s">
        <v>1547</v>
      </c>
      <c r="B153" s="79" t="str">
        <f aca="false">IFERROR(__xludf.dummyfunction("""COMPUTED_VALUE"""),"Queensland Walnut")</f>
        <v>Queensland Walnut</v>
      </c>
      <c r="C153" s="80" t="n">
        <f aca="false">IFERROR(__xludf.dummyfunction("""COMPUTED_VALUE"""),685)</f>
        <v>685</v>
      </c>
      <c r="D153" s="82" t="n">
        <f aca="false">IFERROR(__xludf.dummyfunction("""COMPUTED_VALUE"""),0.375692307692308)</f>
        <v>0.375692307692308</v>
      </c>
      <c r="E153" s="77" t="n">
        <f aca="false">IFERROR(__xludf.dummyfunction("""COMPUTED_VALUE"""),11420000000)</f>
        <v>11420000000</v>
      </c>
      <c r="F153" s="77" t="n">
        <f aca="false">IFERROR(__xludf.dummyfunction("""COMPUTED_VALUE"""),100500000)</f>
        <v>100500000</v>
      </c>
      <c r="G153" s="81" t="n">
        <f aca="false">IFERROR(__xludf.dummyfunction("""COMPUTED_VALUE"""),0)</f>
        <v>0</v>
      </c>
      <c r="H153" s="81" t="n">
        <f aca="false">IFERROR(__xludf.dummyfunction("""COMPUTED_VALUE"""),68600000)</f>
        <v>68600000</v>
      </c>
      <c r="I153" s="77" t="n">
        <f aca="false">IFERROR(__xludf.dummyfunction("""COMPUTED_VALUE"""),1)</f>
        <v>1</v>
      </c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</row>
    <row r="154" customFormat="false" ht="15.75" hidden="false" customHeight="true" outlineLevel="0" collapsed="false">
      <c r="A154" s="51" t="s">
        <v>1547</v>
      </c>
      <c r="B154" s="79" t="str">
        <f aca="false">IFERROR(__xludf.dummyfunction("""COMPUTED_VALUE"""),"Makore")</f>
        <v>Makore</v>
      </c>
      <c r="C154" s="80" t="n">
        <f aca="false">IFERROR(__xludf.dummyfunction("""COMPUTED_VALUE"""),685)</f>
        <v>685</v>
      </c>
      <c r="D154" s="82" t="n">
        <f aca="false">IFERROR(__xludf.dummyfunction("""COMPUTED_VALUE"""),0.375692307692308)</f>
        <v>0.375692307692308</v>
      </c>
      <c r="E154" s="77" t="n">
        <f aca="false">IFERROR(__xludf.dummyfunction("""COMPUTED_VALUE"""),10710000000)</f>
        <v>10710000000</v>
      </c>
      <c r="F154" s="77" t="n">
        <f aca="false">IFERROR(__xludf.dummyfunction("""COMPUTED_VALUE"""),112600000)</f>
        <v>112600000</v>
      </c>
      <c r="G154" s="81" t="n">
        <f aca="false">IFERROR(__xludf.dummyfunction("""COMPUTED_VALUE"""),0)</f>
        <v>0</v>
      </c>
      <c r="H154" s="81" t="n">
        <f aca="false">IFERROR(__xludf.dummyfunction("""COMPUTED_VALUE"""),57200000)</f>
        <v>57200000</v>
      </c>
      <c r="I154" s="77" t="n">
        <f aca="false">IFERROR(__xludf.dummyfunction("""COMPUTED_VALUE"""),1)</f>
        <v>1</v>
      </c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</row>
    <row r="155" customFormat="false" ht="15.75" hidden="false" customHeight="true" outlineLevel="0" collapsed="false">
      <c r="A155" s="51" t="s">
        <v>1547</v>
      </c>
      <c r="B155" s="79" t="str">
        <f aca="false">IFERROR(__xludf.dummyfunction("""COMPUTED_VALUE"""),"Yellow Birch")</f>
        <v>Yellow Birch</v>
      </c>
      <c r="C155" s="80" t="n">
        <f aca="false">IFERROR(__xludf.dummyfunction("""COMPUTED_VALUE"""),690)</f>
        <v>690</v>
      </c>
      <c r="D155" s="82" t="n">
        <f aca="false">IFERROR(__xludf.dummyfunction("""COMPUTED_VALUE"""),0.426)</f>
        <v>0.426</v>
      </c>
      <c r="E155" s="77" t="n">
        <f aca="false">IFERROR(__xludf.dummyfunction("""COMPUTED_VALUE"""),13860000000)</f>
        <v>13860000000</v>
      </c>
      <c r="F155" s="77" t="n">
        <f aca="false">IFERROR(__xludf.dummyfunction("""COMPUTED_VALUE"""),114500000)</f>
        <v>114500000</v>
      </c>
      <c r="G155" s="81" t="n">
        <f aca="false">IFERROR(__xludf.dummyfunction("""COMPUTED_VALUE"""),0)</f>
        <v>0</v>
      </c>
      <c r="H155" s="81" t="n">
        <f aca="false">IFERROR(__xludf.dummyfunction("""COMPUTED_VALUE"""),56300000)</f>
        <v>56300000</v>
      </c>
      <c r="I155" s="77" t="n">
        <f aca="false">IFERROR(__xludf.dummyfunction("""COMPUTED_VALUE"""),1)</f>
        <v>1</v>
      </c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</row>
    <row r="156" customFormat="false" ht="15.75" hidden="false" customHeight="true" outlineLevel="0" collapsed="false">
      <c r="A156" s="51" t="s">
        <v>1547</v>
      </c>
      <c r="B156" s="79" t="str">
        <f aca="false">IFERROR(__xludf.dummyfunction("""COMPUTED_VALUE"""),"Field Maple (violins)")</f>
        <v>Field Maple (violins)</v>
      </c>
      <c r="C156" s="80" t="n">
        <f aca="false">IFERROR(__xludf.dummyfunction("""COMPUTED_VALUE"""),690)</f>
        <v>690</v>
      </c>
      <c r="D156" s="82" t="n">
        <f aca="false">IFERROR(__xludf.dummyfunction("""COMPUTED_VALUE"""),0.375692307692308)</f>
        <v>0.375692307692308</v>
      </c>
      <c r="E156" s="77" t="n">
        <f aca="false">IFERROR(__xludf.dummyfunction("""COMPUTED_VALUE"""),11800000000)</f>
        <v>11800000000</v>
      </c>
      <c r="F156" s="77" t="n">
        <f aca="false">IFERROR(__xludf.dummyfunction("""COMPUTED_VALUE"""),123000000)</f>
        <v>123000000</v>
      </c>
      <c r="G156" s="81" t="n">
        <f aca="false">IFERROR(__xludf.dummyfunction("""COMPUTED_VALUE"""),0)</f>
        <v>0</v>
      </c>
      <c r="H156" s="81"/>
      <c r="I156" s="77" t="n">
        <f aca="false">IFERROR(__xludf.dummyfunction("""COMPUTED_VALUE"""),1)</f>
        <v>1</v>
      </c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</row>
    <row r="157" customFormat="false" ht="15.75" hidden="false" customHeight="true" outlineLevel="0" collapsed="false">
      <c r="A157" s="51" t="s">
        <v>1547</v>
      </c>
      <c r="B157" s="79" t="str">
        <f aca="false">IFERROR(__xludf.dummyfunction("""COMPUTED_VALUE"""),"Pear")</f>
        <v>Pear</v>
      </c>
      <c r="C157" s="80" t="n">
        <f aca="false">IFERROR(__xludf.dummyfunction("""COMPUTED_VALUE"""),690)</f>
        <v>690</v>
      </c>
      <c r="D157" s="82" t="n">
        <f aca="false">IFERROR(__xludf.dummyfunction("""COMPUTED_VALUE"""),0.375692307692308)</f>
        <v>0.375692307692308</v>
      </c>
      <c r="E157" s="77" t="n">
        <f aca="false">IFERROR(__xludf.dummyfunction("""COMPUTED_VALUE"""),7800000000)</f>
        <v>7800000000</v>
      </c>
      <c r="F157" s="77" t="n">
        <f aca="false">IFERROR(__xludf.dummyfunction("""COMPUTED_VALUE"""),83300000)</f>
        <v>83300000</v>
      </c>
      <c r="G157" s="81" t="n">
        <f aca="false">IFERROR(__xludf.dummyfunction("""COMPUTED_VALUE"""),0)</f>
        <v>0</v>
      </c>
      <c r="H157" s="81" t="n">
        <f aca="false">IFERROR(__xludf.dummyfunction("""COMPUTED_VALUE"""),44100000)</f>
        <v>44100000</v>
      </c>
      <c r="I157" s="77" t="n">
        <f aca="false">IFERROR(__xludf.dummyfunction("""COMPUTED_VALUE"""),1)</f>
        <v>1</v>
      </c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</row>
    <row r="158" customFormat="false" ht="15.75" hidden="false" customHeight="true" outlineLevel="0" collapsed="false">
      <c r="A158" s="51" t="s">
        <v>1547</v>
      </c>
      <c r="B158" s="79" t="str">
        <f aca="false">IFERROR(__xludf.dummyfunction("""COMPUTED_VALUE"""),"Red Oak")</f>
        <v>Red Oak</v>
      </c>
      <c r="C158" s="80" t="n">
        <f aca="false">IFERROR(__xludf.dummyfunction("""COMPUTED_VALUE"""),700)</f>
        <v>700</v>
      </c>
      <c r="D158" s="82" t="n">
        <f aca="false">IFERROR(__xludf.dummyfunction("""COMPUTED_VALUE"""),0.35)</f>
        <v>0.35</v>
      </c>
      <c r="E158" s="77" t="n">
        <f aca="false">IFERROR(__xludf.dummyfunction("""COMPUTED_VALUE"""),12140000000)</f>
        <v>12140000000</v>
      </c>
      <c r="F158" s="77" t="n">
        <f aca="false">IFERROR(__xludf.dummyfunction("""COMPUTED_VALUE"""),99200000)</f>
        <v>99200000</v>
      </c>
      <c r="G158" s="81" t="n">
        <f aca="false">IFERROR(__xludf.dummyfunction("""COMPUTED_VALUE"""),0)</f>
        <v>0</v>
      </c>
      <c r="H158" s="81" t="n">
        <f aca="false">IFERROR(__xludf.dummyfunction("""COMPUTED_VALUE"""),46800000)</f>
        <v>46800000</v>
      </c>
      <c r="I158" s="77" t="n">
        <f aca="false">IFERROR(__xludf.dummyfunction("""COMPUTED_VALUE"""),1)</f>
        <v>1</v>
      </c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</row>
    <row r="159" customFormat="false" ht="15.75" hidden="false" customHeight="true" outlineLevel="0" collapsed="false">
      <c r="A159" s="51" t="s">
        <v>1547</v>
      </c>
      <c r="B159" s="79" t="str">
        <f aca="false">IFERROR(__xludf.dummyfunction("""COMPUTED_VALUE"""),"Hard Maple (Sugar, Rock)")</f>
        <v>Hard Maple (Sugar, Rock)</v>
      </c>
      <c r="C159" s="80" t="n">
        <f aca="false">IFERROR(__xludf.dummyfunction("""COMPUTED_VALUE"""),705)</f>
        <v>705</v>
      </c>
      <c r="D159" s="82" t="n">
        <f aca="false">IFERROR(__xludf.dummyfunction("""COMPUTED_VALUE"""),0.424)</f>
        <v>0.424</v>
      </c>
      <c r="E159" s="77" t="n">
        <f aca="false">IFERROR(__xludf.dummyfunction("""COMPUTED_VALUE"""),12620000000)</f>
        <v>12620000000</v>
      </c>
      <c r="F159" s="77" t="n">
        <f aca="false">IFERROR(__xludf.dummyfunction("""COMPUTED_VALUE"""),109000000)</f>
        <v>109000000</v>
      </c>
      <c r="G159" s="81" t="n">
        <f aca="false">IFERROR(__xludf.dummyfunction("""COMPUTED_VALUE"""),0)</f>
        <v>0</v>
      </c>
      <c r="H159" s="81" t="n">
        <f aca="false">IFERROR(__xludf.dummyfunction("""COMPUTED_VALUE"""),54000000)</f>
        <v>54000000</v>
      </c>
      <c r="I159" s="77" t="n">
        <f aca="false">IFERROR(__xludf.dummyfunction("""COMPUTED_VALUE"""),1)</f>
        <v>1</v>
      </c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</row>
    <row r="160" customFormat="false" ht="15.75" hidden="false" customHeight="true" outlineLevel="0" collapsed="false">
      <c r="A160" s="51" t="s">
        <v>1547</v>
      </c>
      <c r="B160" s="79" t="str">
        <f aca="false">IFERROR(__xludf.dummyfunction("""COMPUTED_VALUE"""),"Pacific Yew")</f>
        <v>Pacific Yew</v>
      </c>
      <c r="C160" s="80" t="n">
        <f aca="false">IFERROR(__xludf.dummyfunction("""COMPUTED_VALUE"""),705)</f>
        <v>705</v>
      </c>
      <c r="D160" s="82" t="n">
        <f aca="false">IFERROR(__xludf.dummyfunction("""COMPUTED_VALUE"""),0.375692307692308)</f>
        <v>0.375692307692308</v>
      </c>
      <c r="E160" s="77" t="n">
        <f aca="false">IFERROR(__xludf.dummyfunction("""COMPUTED_VALUE"""),9310000000)</f>
        <v>9310000000</v>
      </c>
      <c r="F160" s="77" t="n">
        <f aca="false">IFERROR(__xludf.dummyfunction("""COMPUTED_VALUE"""),104800000)</f>
        <v>104800000</v>
      </c>
      <c r="G160" s="81" t="n">
        <f aca="false">IFERROR(__xludf.dummyfunction("""COMPUTED_VALUE"""),0)</f>
        <v>0</v>
      </c>
      <c r="H160" s="81" t="n">
        <f aca="false">IFERROR(__xludf.dummyfunction("""COMPUTED_VALUE"""),55900000)</f>
        <v>55900000</v>
      </c>
      <c r="I160" s="77" t="n">
        <f aca="false">IFERROR(__xludf.dummyfunction("""COMPUTED_VALUE"""),1)</f>
        <v>1</v>
      </c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</row>
    <row r="161" customFormat="false" ht="15.75" hidden="false" customHeight="true" outlineLevel="0" collapsed="false">
      <c r="A161" s="51" t="s">
        <v>1547</v>
      </c>
      <c r="B161" s="79" t="str">
        <f aca="false">IFERROR(__xludf.dummyfunction("""COMPUTED_VALUE"""),"European Beech")</f>
        <v>European Beech</v>
      </c>
      <c r="C161" s="80" t="n">
        <f aca="false">IFERROR(__xludf.dummyfunction("""COMPUTED_VALUE"""),710)</f>
        <v>710</v>
      </c>
      <c r="D161" s="82" t="n">
        <f aca="false">IFERROR(__xludf.dummyfunction("""COMPUTED_VALUE"""),0.375692307692308)</f>
        <v>0.375692307692308</v>
      </c>
      <c r="E161" s="77" t="n">
        <f aca="false">IFERROR(__xludf.dummyfunction("""COMPUTED_VALUE"""),14310000000)</f>
        <v>14310000000</v>
      </c>
      <c r="F161" s="77" t="n">
        <f aca="false">IFERROR(__xludf.dummyfunction("""COMPUTED_VALUE"""),110100000)</f>
        <v>110100000</v>
      </c>
      <c r="G161" s="81" t="n">
        <f aca="false">IFERROR(__xludf.dummyfunction("""COMPUTED_VALUE"""),0)</f>
        <v>0</v>
      </c>
      <c r="H161" s="81" t="n">
        <f aca="false">IFERROR(__xludf.dummyfunction("""COMPUTED_VALUE"""),57000000)</f>
        <v>57000000</v>
      </c>
      <c r="I161" s="77" t="n">
        <f aca="false">IFERROR(__xludf.dummyfunction("""COMPUTED_VALUE"""),1)</f>
        <v>1</v>
      </c>
      <c r="J161" s="81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</row>
    <row r="162" customFormat="false" ht="15.75" hidden="false" customHeight="true" outlineLevel="0" collapsed="false">
      <c r="A162" s="51" t="s">
        <v>1547</v>
      </c>
      <c r="B162" s="79" t="str">
        <f aca="false">IFERROR(__xludf.dummyfunction("""COMPUTED_VALUE"""),"Black Oak")</f>
        <v>Black Oak</v>
      </c>
      <c r="C162" s="80" t="n">
        <f aca="false">IFERROR(__xludf.dummyfunction("""COMPUTED_VALUE"""),715)</f>
        <v>715</v>
      </c>
      <c r="D162" s="82" t="n">
        <f aca="false">IFERROR(__xludf.dummyfunction("""COMPUTED_VALUE"""),0.375692307692308)</f>
        <v>0.375692307692308</v>
      </c>
      <c r="E162" s="77" t="n">
        <f aca="false">IFERROR(__xludf.dummyfunction("""COMPUTED_VALUE"""),11970000000)</f>
        <v>11970000000</v>
      </c>
      <c r="F162" s="77" t="n">
        <f aca="false">IFERROR(__xludf.dummyfunction("""COMPUTED_VALUE"""),99500000)</f>
        <v>99500000</v>
      </c>
      <c r="G162" s="81" t="n">
        <f aca="false">IFERROR(__xludf.dummyfunction("""COMPUTED_VALUE"""),0)</f>
        <v>0</v>
      </c>
      <c r="H162" s="81" t="n">
        <f aca="false">IFERROR(__xludf.dummyfunction("""COMPUTED_VALUE"""),44500000)</f>
        <v>44500000</v>
      </c>
      <c r="I162" s="77" t="n">
        <f aca="false">IFERROR(__xludf.dummyfunction("""COMPUTED_VALUE"""),1)</f>
        <v>1</v>
      </c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</row>
    <row r="163" customFormat="false" ht="15.75" hidden="false" customHeight="true" outlineLevel="0" collapsed="false">
      <c r="A163" s="51" t="s">
        <v>1547</v>
      </c>
      <c r="B163" s="79" t="str">
        <f aca="false">IFERROR(__xludf.dummyfunction("""COMPUTED_VALUE"""),"American Beech")</f>
        <v>American Beech</v>
      </c>
      <c r="C163" s="80" t="n">
        <f aca="false">IFERROR(__xludf.dummyfunction("""COMPUTED_VALUE"""),720)</f>
        <v>720</v>
      </c>
      <c r="D163" s="82" t="n">
        <f aca="false">IFERROR(__xludf.dummyfunction("""COMPUTED_VALUE"""),0.375692307692308)</f>
        <v>0.375692307692308</v>
      </c>
      <c r="E163" s="77" t="n">
        <f aca="false">IFERROR(__xludf.dummyfunction("""COMPUTED_VALUE"""),11860000000)</f>
        <v>11860000000</v>
      </c>
      <c r="F163" s="77" t="n">
        <f aca="false">IFERROR(__xludf.dummyfunction("""COMPUTED_VALUE"""),102800000)</f>
        <v>102800000</v>
      </c>
      <c r="G163" s="81" t="n">
        <f aca="false">IFERROR(__xludf.dummyfunction("""COMPUTED_VALUE"""),0)</f>
        <v>0</v>
      </c>
      <c r="H163" s="81" t="n">
        <f aca="false">IFERROR(__xludf.dummyfunction("""COMPUTED_VALUE"""),51100000)</f>
        <v>51100000</v>
      </c>
      <c r="I163" s="77" t="n">
        <f aca="false">IFERROR(__xludf.dummyfunction("""COMPUTED_VALUE"""),1)</f>
        <v>1</v>
      </c>
      <c r="J163" s="81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</row>
    <row r="164" customFormat="false" ht="15.75" hidden="false" customHeight="true" outlineLevel="0" collapsed="false">
      <c r="A164" s="51" t="s">
        <v>1547</v>
      </c>
      <c r="B164" s="79" t="str">
        <f aca="false">IFERROR(__xludf.dummyfunction("""COMPUTED_VALUE"""),"Afrormosia")</f>
        <v>Afrormosia</v>
      </c>
      <c r="C164" s="80" t="n">
        <f aca="false">IFERROR(__xludf.dummyfunction("""COMPUTED_VALUE"""),725)</f>
        <v>725</v>
      </c>
      <c r="D164" s="82" t="n">
        <f aca="false">IFERROR(__xludf.dummyfunction("""COMPUTED_VALUE"""),0.375692307692308)</f>
        <v>0.375692307692308</v>
      </c>
      <c r="E164" s="77" t="n">
        <f aca="false">IFERROR(__xludf.dummyfunction("""COMPUTED_VALUE"""),11830000000)</f>
        <v>11830000000</v>
      </c>
      <c r="F164" s="77" t="n">
        <f aca="false">IFERROR(__xludf.dummyfunction("""COMPUTED_VALUE"""),102900000)</f>
        <v>102900000</v>
      </c>
      <c r="G164" s="81" t="n">
        <f aca="false">IFERROR(__xludf.dummyfunction("""COMPUTED_VALUE"""),0)</f>
        <v>0</v>
      </c>
      <c r="H164" s="81" t="n">
        <f aca="false">IFERROR(__xludf.dummyfunction("""COMPUTED_VALUE"""),66000000)</f>
        <v>66000000</v>
      </c>
      <c r="I164" s="77" t="n">
        <f aca="false">IFERROR(__xludf.dummyfunction("""COMPUTED_VALUE"""),1)</f>
        <v>1</v>
      </c>
      <c r="J164" s="81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</row>
    <row r="165" customFormat="false" ht="15.75" hidden="false" customHeight="true" outlineLevel="0" collapsed="false">
      <c r="A165" s="51" t="s">
        <v>1547</v>
      </c>
      <c r="B165" s="79" t="str">
        <f aca="false">IFERROR(__xludf.dummyfunction("""COMPUTED_VALUE"""),"Bur Oak")</f>
        <v>Bur Oak</v>
      </c>
      <c r="C165" s="80" t="n">
        <f aca="false">IFERROR(__xludf.dummyfunction("""COMPUTED_VALUE"""),725)</f>
        <v>725</v>
      </c>
      <c r="D165" s="82" t="n">
        <f aca="false">IFERROR(__xludf.dummyfunction("""COMPUTED_VALUE"""),0.375692307692308)</f>
        <v>0.375692307692308</v>
      </c>
      <c r="E165" s="77" t="n">
        <f aca="false">IFERROR(__xludf.dummyfunction("""COMPUTED_VALUE"""),7170000000)</f>
        <v>7170000000</v>
      </c>
      <c r="F165" s="77" t="n">
        <f aca="false">IFERROR(__xludf.dummyfunction("""COMPUTED_VALUE"""),75300000)</f>
        <v>75300000</v>
      </c>
      <c r="G165" s="81" t="n">
        <f aca="false">IFERROR(__xludf.dummyfunction("""COMPUTED_VALUE"""),0)</f>
        <v>0</v>
      </c>
      <c r="H165" s="81" t="n">
        <f aca="false">IFERROR(__xludf.dummyfunction("""COMPUTED_VALUE"""),40600000)</f>
        <v>40600000</v>
      </c>
      <c r="I165" s="77" t="n">
        <f aca="false">IFERROR(__xludf.dummyfunction("""COMPUTED_VALUE"""),1)</f>
        <v>1</v>
      </c>
      <c r="J165" s="81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</row>
    <row r="166" customFormat="false" ht="15.75" hidden="false" customHeight="true" outlineLevel="0" collapsed="false">
      <c r="A166" s="51" t="s">
        <v>1547</v>
      </c>
      <c r="B166" s="79" t="str">
        <f aca="false">IFERROR(__xludf.dummyfunction("""COMPUTED_VALUE"""),"Red Ash")</f>
        <v>Red Ash</v>
      </c>
      <c r="C166" s="80" t="n">
        <f aca="false">IFERROR(__xludf.dummyfunction("""COMPUTED_VALUE"""),725)</f>
        <v>725</v>
      </c>
      <c r="D166" s="82" t="n">
        <f aca="false">IFERROR(__xludf.dummyfunction("""COMPUTED_VALUE"""),0.375692307692308)</f>
        <v>0.375692307692308</v>
      </c>
      <c r="E166" s="77" t="n">
        <f aca="false">IFERROR(__xludf.dummyfunction("""COMPUTED_VALUE"""),19000000000)</f>
        <v>19000000000</v>
      </c>
      <c r="F166" s="77" t="n">
        <f aca="false">IFERROR(__xludf.dummyfunction("""COMPUTED_VALUE"""),143000000)</f>
        <v>143000000</v>
      </c>
      <c r="G166" s="81" t="n">
        <f aca="false">IFERROR(__xludf.dummyfunction("""COMPUTED_VALUE"""),0)</f>
        <v>0</v>
      </c>
      <c r="H166" s="81" t="n">
        <f aca="false">IFERROR(__xludf.dummyfunction("""COMPUTED_VALUE"""),70000000)</f>
        <v>70000000</v>
      </c>
      <c r="I166" s="77" t="n">
        <f aca="false">IFERROR(__xludf.dummyfunction("""COMPUTED_VALUE"""),1)</f>
        <v>1</v>
      </c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</row>
    <row r="167" customFormat="false" ht="15.75" hidden="false" customHeight="true" outlineLevel="0" collapsed="false">
      <c r="A167" s="51" t="s">
        <v>1547</v>
      </c>
      <c r="B167" s="79" t="str">
        <f aca="false">IFERROR(__xludf.dummyfunction("""COMPUTED_VALUE"""),"Ebiara")</f>
        <v>Ebiara</v>
      </c>
      <c r="C167" s="80" t="n">
        <f aca="false">IFERROR(__xludf.dummyfunction("""COMPUTED_VALUE"""),725)</f>
        <v>725</v>
      </c>
      <c r="D167" s="82" t="n">
        <f aca="false">IFERROR(__xludf.dummyfunction("""COMPUTED_VALUE"""),0.375692307692308)</f>
        <v>0.375692307692308</v>
      </c>
      <c r="E167" s="77" t="n">
        <f aca="false">IFERROR(__xludf.dummyfunction("""COMPUTED_VALUE"""),11140000000)</f>
        <v>11140000000</v>
      </c>
      <c r="F167" s="77" t="n">
        <f aca="false">IFERROR(__xludf.dummyfunction("""COMPUTED_VALUE"""),109600000)</f>
        <v>109600000</v>
      </c>
      <c r="G167" s="81" t="n">
        <f aca="false">IFERROR(__xludf.dummyfunction("""COMPUTED_VALUE"""),0)</f>
        <v>0</v>
      </c>
      <c r="H167" s="81" t="n">
        <f aca="false">IFERROR(__xludf.dummyfunction("""COMPUTED_VALUE"""),55400000)</f>
        <v>55400000</v>
      </c>
      <c r="I167" s="77" t="n">
        <f aca="false">IFERROR(__xludf.dummyfunction("""COMPUTED_VALUE"""),1)</f>
        <v>1</v>
      </c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</row>
    <row r="168" customFormat="false" ht="15.75" hidden="false" customHeight="true" outlineLevel="0" collapsed="false">
      <c r="A168" s="51" t="s">
        <v>1547</v>
      </c>
      <c r="B168" s="79" t="str">
        <f aca="false">IFERROR(__xludf.dummyfunction("""COMPUTED_VALUE"""),"Pecan (Hickory)")</f>
        <v>Pecan (Hickory)</v>
      </c>
      <c r="C168" s="80" t="n">
        <f aca="false">IFERROR(__xludf.dummyfunction("""COMPUTED_VALUE"""),735)</f>
        <v>735</v>
      </c>
      <c r="D168" s="82" t="n">
        <f aca="false">IFERROR(__xludf.dummyfunction("""COMPUTED_VALUE"""),0.375692307692308)</f>
        <v>0.375692307692308</v>
      </c>
      <c r="E168" s="77" t="n">
        <f aca="false">IFERROR(__xludf.dummyfunction("""COMPUTED_VALUE"""),11930000000)</f>
        <v>11930000000</v>
      </c>
      <c r="F168" s="77" t="n">
        <f aca="false">IFERROR(__xludf.dummyfunction("""COMPUTED_VALUE"""),94500000)</f>
        <v>94500000</v>
      </c>
      <c r="G168" s="81" t="n">
        <f aca="false">IFERROR(__xludf.dummyfunction("""COMPUTED_VALUE"""),0)</f>
        <v>0</v>
      </c>
      <c r="H168" s="81" t="n">
        <f aca="false">IFERROR(__xludf.dummyfunction("""COMPUTED_VALUE"""),54100000)</f>
        <v>54100000</v>
      </c>
      <c r="I168" s="77" t="n">
        <f aca="false">IFERROR(__xludf.dummyfunction("""COMPUTED_VALUE"""),1)</f>
        <v>1</v>
      </c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</row>
    <row r="169" customFormat="false" ht="15.75" hidden="false" customHeight="true" outlineLevel="0" collapsed="false">
      <c r="A169" s="51" t="s">
        <v>1547</v>
      </c>
      <c r="B169" s="79" t="str">
        <f aca="false">IFERROR(__xludf.dummyfunction("""COMPUTED_VALUE"""),"European Hornbeam")</f>
        <v>European Hornbeam</v>
      </c>
      <c r="C169" s="80" t="n">
        <f aca="false">IFERROR(__xludf.dummyfunction("""COMPUTED_VALUE"""),735)</f>
        <v>735</v>
      </c>
      <c r="D169" s="82" t="n">
        <f aca="false">IFERROR(__xludf.dummyfunction("""COMPUTED_VALUE"""),0.375692307692308)</f>
        <v>0.375692307692308</v>
      </c>
      <c r="E169" s="77" t="n">
        <f aca="false">IFERROR(__xludf.dummyfunction("""COMPUTED_VALUE"""),12100000000)</f>
        <v>12100000000</v>
      </c>
      <c r="F169" s="77" t="n">
        <f aca="false">IFERROR(__xludf.dummyfunction("""COMPUTED_VALUE"""),110400000)</f>
        <v>110400000</v>
      </c>
      <c r="G169" s="81" t="n">
        <f aca="false">IFERROR(__xludf.dummyfunction("""COMPUTED_VALUE"""),0)</f>
        <v>0</v>
      </c>
      <c r="H169" s="81" t="n">
        <f aca="false">IFERROR(__xludf.dummyfunction("""COMPUTED_VALUE"""),50500000)</f>
        <v>50500000</v>
      </c>
      <c r="I169" s="77" t="n">
        <f aca="false">IFERROR(__xludf.dummyfunction("""COMPUTED_VALUE"""),1)</f>
        <v>1</v>
      </c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</row>
    <row r="170" customFormat="false" ht="15.75" hidden="false" customHeight="true" outlineLevel="0" collapsed="false">
      <c r="A170" s="51" t="s">
        <v>1547</v>
      </c>
      <c r="B170" s="79" t="str">
        <f aca="false">IFERROR(__xludf.dummyfunction("""COMPUTED_VALUE"""),"Apricot")</f>
        <v>Apricot</v>
      </c>
      <c r="C170" s="80" t="n">
        <f aca="false">IFERROR(__xludf.dummyfunction("""COMPUTED_VALUE"""),745)</f>
        <v>745</v>
      </c>
      <c r="D170" s="82" t="n">
        <f aca="false">IFERROR(__xludf.dummyfunction("""COMPUTED_VALUE"""),0.375692307692308)</f>
        <v>0.375692307692308</v>
      </c>
      <c r="E170" s="77"/>
      <c r="F170" s="77"/>
      <c r="G170" s="81" t="n">
        <f aca="false">IFERROR(__xludf.dummyfunction("""COMPUTED_VALUE"""),0)</f>
        <v>0</v>
      </c>
      <c r="H170" s="81"/>
      <c r="I170" s="77" t="n">
        <f aca="false">IFERROR(__xludf.dummyfunction("""COMPUTED_VALUE"""),1)</f>
        <v>1</v>
      </c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</row>
    <row r="171" customFormat="false" ht="15.75" hidden="false" customHeight="true" outlineLevel="0" collapsed="false">
      <c r="A171" s="51" t="s">
        <v>1547</v>
      </c>
      <c r="B171" s="79" t="str">
        <f aca="false">IFERROR(__xludf.dummyfunction("""COMPUTED_VALUE"""),"Keruing (Apitong)")</f>
        <v>Keruing (Apitong)</v>
      </c>
      <c r="C171" s="80" t="n">
        <f aca="false">IFERROR(__xludf.dummyfunction("""COMPUTED_VALUE"""),745)</f>
        <v>745</v>
      </c>
      <c r="D171" s="82" t="n">
        <f aca="false">IFERROR(__xludf.dummyfunction("""COMPUTED_VALUE"""),0.375692307692308)</f>
        <v>0.375692307692308</v>
      </c>
      <c r="E171" s="77" t="n">
        <f aca="false">IFERROR(__xludf.dummyfunction("""COMPUTED_VALUE"""),15810000000)</f>
        <v>15810000000</v>
      </c>
      <c r="F171" s="77" t="n">
        <f aca="false">IFERROR(__xludf.dummyfunction("""COMPUTED_VALUE"""),115200000)</f>
        <v>115200000</v>
      </c>
      <c r="G171" s="81" t="n">
        <f aca="false">IFERROR(__xludf.dummyfunction("""COMPUTED_VALUE"""),0)</f>
        <v>0</v>
      </c>
      <c r="H171" s="81" t="n">
        <f aca="false">IFERROR(__xludf.dummyfunction("""COMPUTED_VALUE"""),61400000)</f>
        <v>61400000</v>
      </c>
      <c r="I171" s="77" t="n">
        <f aca="false">IFERROR(__xludf.dummyfunction("""COMPUTED_VALUE"""),1)</f>
        <v>1</v>
      </c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</row>
    <row r="172" customFormat="false" ht="15.75" hidden="false" customHeight="true" outlineLevel="0" collapsed="false">
      <c r="A172" s="51" t="s">
        <v>1547</v>
      </c>
      <c r="B172" s="79" t="str">
        <f aca="false">IFERROR(__xludf.dummyfunction("""COMPUTED_VALUE"""),"African Padauk")</f>
        <v>African Padauk</v>
      </c>
      <c r="C172" s="80" t="n">
        <f aca="false">IFERROR(__xludf.dummyfunction("""COMPUTED_VALUE"""),745)</f>
        <v>745</v>
      </c>
      <c r="D172" s="82" t="n">
        <f aca="false">IFERROR(__xludf.dummyfunction("""COMPUTED_VALUE"""),0.375692307692308)</f>
        <v>0.375692307692308</v>
      </c>
      <c r="E172" s="77" t="n">
        <f aca="false">IFERROR(__xludf.dummyfunction("""COMPUTED_VALUE"""),11720000000)</f>
        <v>11720000000</v>
      </c>
      <c r="F172" s="77" t="n">
        <f aca="false">IFERROR(__xludf.dummyfunction("""COMPUTED_VALUE"""),116000000)</f>
        <v>116000000</v>
      </c>
      <c r="G172" s="81" t="n">
        <f aca="false">IFERROR(__xludf.dummyfunction("""COMPUTED_VALUE"""),0)</f>
        <v>0</v>
      </c>
      <c r="H172" s="81" t="n">
        <f aca="false">IFERROR(__xludf.dummyfunction("""COMPUTED_VALUE"""),56000000)</f>
        <v>56000000</v>
      </c>
      <c r="I172" s="77" t="n">
        <f aca="false">IFERROR(__xludf.dummyfunction("""COMPUTED_VALUE"""),1)</f>
        <v>1</v>
      </c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</row>
    <row r="173" customFormat="false" ht="15.75" hidden="false" customHeight="true" outlineLevel="0" collapsed="false">
      <c r="A173" s="51" t="s">
        <v>1547</v>
      </c>
      <c r="B173" s="79" t="str">
        <f aca="false">IFERROR(__xludf.dummyfunction("""COMPUTED_VALUE"""),"Chestnut Oak")</f>
        <v>Chestnut Oak</v>
      </c>
      <c r="C173" s="80" t="n">
        <f aca="false">IFERROR(__xludf.dummyfunction("""COMPUTED_VALUE"""),750)</f>
        <v>750</v>
      </c>
      <c r="D173" s="82" t="n">
        <f aca="false">IFERROR(__xludf.dummyfunction("""COMPUTED_VALUE"""),0.375692307692308)</f>
        <v>0.375692307692308</v>
      </c>
      <c r="E173" s="77" t="n">
        <f aca="false">IFERROR(__xludf.dummyfunction("""COMPUTED_VALUE"""),11000000000)</f>
        <v>11000000000</v>
      </c>
      <c r="F173" s="77" t="n">
        <f aca="false">IFERROR(__xludf.dummyfunction("""COMPUTED_VALUE"""),91700000)</f>
        <v>91700000</v>
      </c>
      <c r="G173" s="81" t="n">
        <f aca="false">IFERROR(__xludf.dummyfunction("""COMPUTED_VALUE"""),0)</f>
        <v>0</v>
      </c>
      <c r="H173" s="81" t="n">
        <f aca="false">IFERROR(__xludf.dummyfunction("""COMPUTED_VALUE"""),47100000)</f>
        <v>47100000</v>
      </c>
      <c r="I173" s="77" t="n">
        <f aca="false">IFERROR(__xludf.dummyfunction("""COMPUTED_VALUE"""),1)</f>
        <v>1</v>
      </c>
      <c r="J173" s="81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</row>
    <row r="174" customFormat="false" ht="15.75" hidden="false" customHeight="true" outlineLevel="0" collapsed="false">
      <c r="A174" s="51" t="s">
        <v>1547</v>
      </c>
      <c r="B174" s="79" t="str">
        <f aca="false">IFERROR(__xludf.dummyfunction("""COMPUTED_VALUE"""),"White Oak")</f>
        <v>White Oak</v>
      </c>
      <c r="C174" s="80" t="n">
        <f aca="false">IFERROR(__xludf.dummyfunction("""COMPUTED_VALUE"""),755)</f>
        <v>755</v>
      </c>
      <c r="D174" s="82" t="n">
        <f aca="false">IFERROR(__xludf.dummyfunction("""COMPUTED_VALUE"""),0.369)</f>
        <v>0.369</v>
      </c>
      <c r="E174" s="77" t="n">
        <f aca="false">IFERROR(__xludf.dummyfunction("""COMPUTED_VALUE"""),12150000000)</f>
        <v>12150000000</v>
      </c>
      <c r="F174" s="77" t="n">
        <f aca="false">IFERROR(__xludf.dummyfunction("""COMPUTED_VALUE"""),102300000)</f>
        <v>102300000</v>
      </c>
      <c r="G174" s="81" t="n">
        <f aca="false">IFERROR(__xludf.dummyfunction("""COMPUTED_VALUE"""),0)</f>
        <v>0</v>
      </c>
      <c r="H174" s="81" t="n">
        <f aca="false">IFERROR(__xludf.dummyfunction("""COMPUTED_VALUE"""),50800000)</f>
        <v>50800000</v>
      </c>
      <c r="I174" s="77" t="n">
        <f aca="false">IFERROR(__xludf.dummyfunction("""COMPUTED_VALUE"""),1)</f>
        <v>1</v>
      </c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</row>
    <row r="175" customFormat="false" ht="15.75" hidden="false" customHeight="true" outlineLevel="0" collapsed="false">
      <c r="A175" s="51" t="s">
        <v>1547</v>
      </c>
      <c r="B175" s="79" t="str">
        <f aca="false">IFERROR(__xludf.dummyfunction("""COMPUTED_VALUE"""),"Etimoé")</f>
        <v>Etimoé</v>
      </c>
      <c r="C175" s="80" t="n">
        <f aca="false">IFERROR(__xludf.dummyfunction("""COMPUTED_VALUE"""),755)</f>
        <v>755</v>
      </c>
      <c r="D175" s="82" t="n">
        <f aca="false">IFERROR(__xludf.dummyfunction("""COMPUTED_VALUE"""),0.375692307692308)</f>
        <v>0.375692307692308</v>
      </c>
      <c r="E175" s="77" t="n">
        <f aca="false">IFERROR(__xludf.dummyfunction("""COMPUTED_VALUE"""),13750000000)</f>
        <v>13750000000</v>
      </c>
      <c r="F175" s="77" t="n">
        <f aca="false">IFERROR(__xludf.dummyfunction("""COMPUTED_VALUE"""),142400000)</f>
        <v>142400000</v>
      </c>
      <c r="G175" s="81" t="n">
        <f aca="false">IFERROR(__xludf.dummyfunction("""COMPUTED_VALUE"""),0)</f>
        <v>0</v>
      </c>
      <c r="H175" s="81" t="n">
        <f aca="false">IFERROR(__xludf.dummyfunction("""COMPUTED_VALUE"""),69100000)</f>
        <v>69100000</v>
      </c>
      <c r="I175" s="77" t="n">
        <f aca="false">IFERROR(__xludf.dummyfunction("""COMPUTED_VALUE"""),1)</f>
        <v>1</v>
      </c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</row>
    <row r="176" customFormat="false" ht="15.75" hidden="false" customHeight="true" outlineLevel="0" collapsed="false">
      <c r="A176" s="51" t="s">
        <v>1547</v>
      </c>
      <c r="B176" s="79" t="str">
        <f aca="false">IFERROR(__xludf.dummyfunction("""COMPUTED_VALUE"""),"Black siris")</f>
        <v>Black siris</v>
      </c>
      <c r="C176" s="80" t="n">
        <f aca="false">IFERROR(__xludf.dummyfunction("""COMPUTED_VALUE"""),760)</f>
        <v>760</v>
      </c>
      <c r="D176" s="82" t="n">
        <f aca="false">IFERROR(__xludf.dummyfunction("""COMPUTED_VALUE"""),0.375692307692308)</f>
        <v>0.375692307692308</v>
      </c>
      <c r="E176" s="77" t="n">
        <f aca="false">IFERROR(__xludf.dummyfunction("""COMPUTED_VALUE"""),11770000000)</f>
        <v>11770000000</v>
      </c>
      <c r="F176" s="77" t="n">
        <f aca="false">IFERROR(__xludf.dummyfunction("""COMPUTED_VALUE"""),96400000)</f>
        <v>96400000</v>
      </c>
      <c r="G176" s="81" t="n">
        <f aca="false">IFERROR(__xludf.dummyfunction("""COMPUTED_VALUE"""),0)</f>
        <v>0</v>
      </c>
      <c r="H176" s="81" t="n">
        <f aca="false">IFERROR(__xludf.dummyfunction("""COMPUTED_VALUE"""),56100000)</f>
        <v>56100000</v>
      </c>
      <c r="I176" s="77" t="n">
        <f aca="false">IFERROR(__xludf.dummyfunction("""COMPUTED_VALUE"""),1)</f>
        <v>1</v>
      </c>
      <c r="J176" s="81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</row>
    <row r="177" customFormat="false" ht="15.75" hidden="false" customHeight="true" outlineLevel="0" collapsed="false">
      <c r="A177" s="51" t="s">
        <v>1547</v>
      </c>
      <c r="B177" s="79" t="str">
        <f aca="false">IFERROR(__xludf.dummyfunction("""COMPUTED_VALUE"""),"Black Locust")</f>
        <v>Black Locust</v>
      </c>
      <c r="C177" s="80" t="n">
        <f aca="false">IFERROR(__xludf.dummyfunction("""COMPUTED_VALUE"""),770)</f>
        <v>770</v>
      </c>
      <c r="D177" s="82" t="n">
        <f aca="false">IFERROR(__xludf.dummyfunction("""COMPUTED_VALUE"""),0.375692307692308)</f>
        <v>0.375692307692308</v>
      </c>
      <c r="E177" s="77" t="n">
        <f aca="false">IFERROR(__xludf.dummyfunction("""COMPUTED_VALUE"""),14140000000)</f>
        <v>14140000000</v>
      </c>
      <c r="F177" s="77" t="n">
        <f aca="false">IFERROR(__xludf.dummyfunction("""COMPUTED_VALUE"""),133800000)</f>
        <v>133800000</v>
      </c>
      <c r="G177" s="81" t="n">
        <f aca="false">IFERROR(__xludf.dummyfunction("""COMPUTED_VALUE"""),0)</f>
        <v>0</v>
      </c>
      <c r="H177" s="81" t="n">
        <f aca="false">IFERROR(__xludf.dummyfunction("""COMPUTED_VALUE"""),70300000)</f>
        <v>70300000</v>
      </c>
      <c r="I177" s="77" t="n">
        <f aca="false">IFERROR(__xludf.dummyfunction("""COMPUTED_VALUE"""),1)</f>
        <v>1</v>
      </c>
      <c r="J177" s="81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</row>
    <row r="178" customFormat="false" ht="15.75" hidden="false" customHeight="true" outlineLevel="0" collapsed="false">
      <c r="A178" s="51" t="s">
        <v>1547</v>
      </c>
      <c r="B178" s="79" t="str">
        <f aca="false">IFERROR(__xludf.dummyfunction("""COMPUTED_VALUE"""),"Sissoo (rosewood)")</f>
        <v>Sissoo (rosewood)</v>
      </c>
      <c r="C178" s="80" t="n">
        <f aca="false">IFERROR(__xludf.dummyfunction("""COMPUTED_VALUE"""),770)</f>
        <v>770</v>
      </c>
      <c r="D178" s="82" t="n">
        <f aca="false">IFERROR(__xludf.dummyfunction("""COMPUTED_VALUE"""),0.375692307692308)</f>
        <v>0.375692307692308</v>
      </c>
      <c r="E178" s="77" t="n">
        <f aca="false">IFERROR(__xludf.dummyfunction("""COMPUTED_VALUE"""),10400000000)</f>
        <v>10400000000</v>
      </c>
      <c r="F178" s="77" t="n">
        <f aca="false">IFERROR(__xludf.dummyfunction("""COMPUTED_VALUE"""),97500000)</f>
        <v>97500000</v>
      </c>
      <c r="G178" s="81" t="n">
        <f aca="false">IFERROR(__xludf.dummyfunction("""COMPUTED_VALUE"""),0)</f>
        <v>0</v>
      </c>
      <c r="H178" s="81" t="n">
        <f aca="false">IFERROR(__xludf.dummyfunction("""COMPUTED_VALUE"""),55500000)</f>
        <v>55500000</v>
      </c>
      <c r="I178" s="77" t="n">
        <f aca="false">IFERROR(__xludf.dummyfunction("""COMPUTED_VALUE"""),1)</f>
        <v>1</v>
      </c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</row>
    <row r="179" customFormat="false" ht="15.75" hidden="false" customHeight="true" outlineLevel="0" collapsed="false">
      <c r="A179" s="51" t="s">
        <v>1547</v>
      </c>
      <c r="B179" s="79" t="str">
        <f aca="false">IFERROR(__xludf.dummyfunction("""COMPUTED_VALUE"""),"Tzalam (Sabicu)")</f>
        <v>Tzalam (Sabicu)</v>
      </c>
      <c r="C179" s="80" t="n">
        <f aca="false">IFERROR(__xludf.dummyfunction("""COMPUTED_VALUE"""),780)</f>
        <v>780</v>
      </c>
      <c r="D179" s="82" t="n">
        <f aca="false">IFERROR(__xludf.dummyfunction("""COMPUTED_VALUE"""),0.375692307692308)</f>
        <v>0.375692307692308</v>
      </c>
      <c r="E179" s="77" t="n">
        <f aca="false">IFERROR(__xludf.dummyfunction("""COMPUTED_VALUE"""),13100000000)</f>
        <v>13100000000</v>
      </c>
      <c r="F179" s="77" t="n">
        <f aca="false">IFERROR(__xludf.dummyfunction("""COMPUTED_VALUE"""),88300000)</f>
        <v>88300000</v>
      </c>
      <c r="G179" s="81" t="n">
        <f aca="false">IFERROR(__xludf.dummyfunction("""COMPUTED_VALUE"""),0)</f>
        <v>0</v>
      </c>
      <c r="H179" s="81"/>
      <c r="I179" s="77" t="n">
        <f aca="false">IFERROR(__xludf.dummyfunction("""COMPUTED_VALUE"""),1)</f>
        <v>1</v>
      </c>
      <c r="J179" s="81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</row>
    <row r="180" customFormat="false" ht="15.75" hidden="false" customHeight="true" outlineLevel="0" collapsed="false">
      <c r="A180" s="51" t="s">
        <v>1547</v>
      </c>
      <c r="B180" s="79" t="str">
        <f aca="false">IFERROR(__xludf.dummyfunction("""COMPUTED_VALUE"""),"Cherrybark Oak")</f>
        <v>Cherrybark Oak</v>
      </c>
      <c r="C180" s="80" t="n">
        <f aca="false">IFERROR(__xludf.dummyfunction("""COMPUTED_VALUE"""),785)</f>
        <v>785</v>
      </c>
      <c r="D180" s="82" t="n">
        <f aca="false">IFERROR(__xludf.dummyfunction("""COMPUTED_VALUE"""),0.375692307692308)</f>
        <v>0.375692307692308</v>
      </c>
      <c r="E180" s="77" t="n">
        <f aca="false">IFERROR(__xludf.dummyfunction("""COMPUTED_VALUE"""),15700000000)</f>
        <v>15700000000</v>
      </c>
      <c r="F180" s="77" t="n">
        <f aca="false">IFERROR(__xludf.dummyfunction("""COMPUTED_VALUE"""),124800000)</f>
        <v>124800000</v>
      </c>
      <c r="G180" s="81" t="n">
        <f aca="false">IFERROR(__xludf.dummyfunction("""COMPUTED_VALUE"""),0)</f>
        <v>0</v>
      </c>
      <c r="H180" s="81" t="n">
        <f aca="false">IFERROR(__xludf.dummyfunction("""COMPUTED_VALUE"""),60300000)</f>
        <v>60300000</v>
      </c>
      <c r="I180" s="77" t="n">
        <f aca="false">IFERROR(__xludf.dummyfunction("""COMPUTED_VALUE"""),1)</f>
        <v>1</v>
      </c>
      <c r="J180" s="81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</row>
    <row r="181" customFormat="false" ht="15.75" hidden="false" customHeight="true" outlineLevel="0" collapsed="false">
      <c r="A181" s="51" t="s">
        <v>1547</v>
      </c>
      <c r="B181" s="79" t="str">
        <f aca="false">IFERROR(__xludf.dummyfunction("""COMPUTED_VALUE"""),"Plum")</f>
        <v>Plum</v>
      </c>
      <c r="C181" s="80" t="n">
        <f aca="false">IFERROR(__xludf.dummyfunction("""COMPUTED_VALUE"""),795)</f>
        <v>795</v>
      </c>
      <c r="D181" s="82" t="n">
        <f aca="false">IFERROR(__xludf.dummyfunction("""COMPUTED_VALUE"""),0.375692307692308)</f>
        <v>0.375692307692308</v>
      </c>
      <c r="E181" s="77" t="n">
        <f aca="false">IFERROR(__xludf.dummyfunction("""COMPUTED_VALUE"""),10190000000)</f>
        <v>10190000000</v>
      </c>
      <c r="F181" s="77" t="n">
        <f aca="false">IFERROR(__xludf.dummyfunction("""COMPUTED_VALUE"""),88400000)</f>
        <v>88400000</v>
      </c>
      <c r="G181" s="81" t="n">
        <f aca="false">IFERROR(__xludf.dummyfunction("""COMPUTED_VALUE"""),0)</f>
        <v>0</v>
      </c>
      <c r="H181" s="81"/>
      <c r="I181" s="77" t="n">
        <f aca="false">IFERROR(__xludf.dummyfunction("""COMPUTED_VALUE"""),1)</f>
        <v>1</v>
      </c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</row>
    <row r="182" customFormat="false" ht="15.75" hidden="false" customHeight="true" outlineLevel="0" collapsed="false">
      <c r="A182" s="51" t="s">
        <v>1547</v>
      </c>
      <c r="B182" s="87" t="str">
        <f aca="false">IFERROR(__xludf.dummyfunction("""COMPUTED_VALUE"""),"Madrone")</f>
        <v>Madrone</v>
      </c>
      <c r="C182" s="80" t="n">
        <f aca="false">IFERROR(__xludf.dummyfunction("""COMPUTED_VALUE"""),795)</f>
        <v>795</v>
      </c>
      <c r="D182" s="82" t="n">
        <f aca="false">IFERROR(__xludf.dummyfunction("""COMPUTED_VALUE"""),0.375692307692308)</f>
        <v>0.375692307692308</v>
      </c>
      <c r="E182" s="77" t="n">
        <f aca="false">IFERROR(__xludf.dummyfunction("""COMPUTED_VALUE"""),8480000000)</f>
        <v>8480000000</v>
      </c>
      <c r="F182" s="77" t="n">
        <f aca="false">IFERROR(__xludf.dummyfunction("""COMPUTED_VALUE"""),71700000)</f>
        <v>71700000</v>
      </c>
      <c r="G182" s="81" t="n">
        <f aca="false">IFERROR(__xludf.dummyfunction("""COMPUTED_VALUE"""),0)</f>
        <v>0</v>
      </c>
      <c r="H182" s="81" t="n">
        <f aca="false">IFERROR(__xludf.dummyfunction("""COMPUTED_VALUE"""),47400000)</f>
        <v>47400000</v>
      </c>
      <c r="I182" s="77" t="n">
        <f aca="false">IFERROR(__xludf.dummyfunction("""COMPUTED_VALUE"""),1)</f>
        <v>1</v>
      </c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</row>
    <row r="183" customFormat="false" ht="15.75" hidden="false" customHeight="true" outlineLevel="0" collapsed="false">
      <c r="A183" s="51" t="s">
        <v>1547</v>
      </c>
      <c r="B183" s="79" t="str">
        <f aca="false">IFERROR(__xludf.dummyfunction("""COMPUTED_VALUE"""),"Shagbark Hickory")</f>
        <v>Shagbark Hickory</v>
      </c>
      <c r="C183" s="80" t="n">
        <f aca="false">IFERROR(__xludf.dummyfunction("""COMPUTED_VALUE"""),800)</f>
        <v>800</v>
      </c>
      <c r="D183" s="82" t="n">
        <f aca="false">IFERROR(__xludf.dummyfunction("""COMPUTED_VALUE"""),0.375692307692308)</f>
        <v>0.375692307692308</v>
      </c>
      <c r="E183" s="77" t="n">
        <f aca="false">IFERROR(__xludf.dummyfunction("""COMPUTED_VALUE"""),14900000000)</f>
        <v>14900000000</v>
      </c>
      <c r="F183" s="77" t="n">
        <f aca="false">IFERROR(__xludf.dummyfunction("""COMPUTED_VALUE"""),139300000)</f>
        <v>139300000</v>
      </c>
      <c r="G183" s="81" t="n">
        <f aca="false">IFERROR(__xludf.dummyfunction("""COMPUTED_VALUE"""),0)</f>
        <v>0</v>
      </c>
      <c r="H183" s="81" t="n">
        <f aca="false">IFERROR(__xludf.dummyfunction("""COMPUTED_VALUE"""),63500000)</f>
        <v>63500000</v>
      </c>
      <c r="I183" s="77" t="n">
        <f aca="false">IFERROR(__xludf.dummyfunction("""COMPUTED_VALUE"""),1)</f>
        <v>1</v>
      </c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</row>
    <row r="184" customFormat="false" ht="15.75" hidden="false" customHeight="true" outlineLevel="0" collapsed="false">
      <c r="A184" s="51" t="s">
        <v>1547</v>
      </c>
      <c r="B184" s="79" t="str">
        <f aca="false">IFERROR(__xludf.dummyfunction("""COMPUTED_VALUE"""),"Pheasantwood")</f>
        <v>Pheasantwood</v>
      </c>
      <c r="C184" s="80" t="n">
        <f aca="false">IFERROR(__xludf.dummyfunction("""COMPUTED_VALUE"""),800)</f>
        <v>800</v>
      </c>
      <c r="D184" s="82" t="n">
        <f aca="false">IFERROR(__xludf.dummyfunction("""COMPUTED_VALUE"""),0.375692307692308)</f>
        <v>0.375692307692308</v>
      </c>
      <c r="E184" s="77" t="n">
        <f aca="false">IFERROR(__xludf.dummyfunction("""COMPUTED_VALUE"""),10900000000)</f>
        <v>10900000000</v>
      </c>
      <c r="F184" s="77" t="n">
        <f aca="false">IFERROR(__xludf.dummyfunction("""COMPUTED_VALUE"""),85500000)</f>
        <v>85500000</v>
      </c>
      <c r="G184" s="81" t="n">
        <f aca="false">IFERROR(__xludf.dummyfunction("""COMPUTED_VALUE"""),0)</f>
        <v>0</v>
      </c>
      <c r="H184" s="81" t="n">
        <f aca="false">IFERROR(__xludf.dummyfunction("""COMPUTED_VALUE"""),70000000)</f>
        <v>70000000</v>
      </c>
      <c r="I184" s="77" t="n">
        <f aca="false">IFERROR(__xludf.dummyfunction("""COMPUTED_VALUE"""),1)</f>
        <v>1</v>
      </c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</row>
    <row r="185" customFormat="false" ht="15.75" hidden="false" customHeight="true" outlineLevel="0" collapsed="false">
      <c r="A185" s="51" t="s">
        <v>1547</v>
      </c>
      <c r="B185" s="79" t="str">
        <f aca="false">IFERROR(__xludf.dummyfunction("""COMPUTED_VALUE"""),"Mutenyé")</f>
        <v>Mutenyé</v>
      </c>
      <c r="C185" s="80" t="n">
        <f aca="false">IFERROR(__xludf.dummyfunction("""COMPUTED_VALUE"""),800)</f>
        <v>800</v>
      </c>
      <c r="D185" s="82" t="n">
        <f aca="false">IFERROR(__xludf.dummyfunction("""COMPUTED_VALUE"""),0.375692307692308)</f>
        <v>0.375692307692308</v>
      </c>
      <c r="E185" s="77" t="n">
        <f aca="false">IFERROR(__xludf.dummyfunction("""COMPUTED_VALUE"""),18600000000)</f>
        <v>18600000000</v>
      </c>
      <c r="F185" s="77" t="n">
        <f aca="false">IFERROR(__xludf.dummyfunction("""COMPUTED_VALUE"""),152300000)</f>
        <v>152300000</v>
      </c>
      <c r="G185" s="81" t="n">
        <f aca="false">IFERROR(__xludf.dummyfunction("""COMPUTED_VALUE"""),0)</f>
        <v>0</v>
      </c>
      <c r="H185" s="81" t="n">
        <f aca="false">IFERROR(__xludf.dummyfunction("""COMPUTED_VALUE"""),79900000)</f>
        <v>79900000</v>
      </c>
      <c r="I185" s="77" t="n">
        <f aca="false">IFERROR(__xludf.dummyfunction("""COMPUTED_VALUE"""),1)</f>
        <v>1</v>
      </c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</row>
    <row r="186" customFormat="false" ht="15.75" hidden="false" customHeight="true" outlineLevel="0" collapsed="false">
      <c r="A186" s="51" t="s">
        <v>1547</v>
      </c>
      <c r="B186" s="79" t="str">
        <f aca="false">IFERROR(__xludf.dummyfunction("""COMPUTED_VALUE"""),"Zebrawood")</f>
        <v>Zebrawood</v>
      </c>
      <c r="C186" s="80" t="n">
        <f aca="false">IFERROR(__xludf.dummyfunction("""COMPUTED_VALUE"""),805)</f>
        <v>805</v>
      </c>
      <c r="D186" s="82" t="n">
        <f aca="false">IFERROR(__xludf.dummyfunction("""COMPUTED_VALUE"""),0.375692307692308)</f>
        <v>0.375692307692308</v>
      </c>
      <c r="E186" s="77" t="n">
        <f aca="false">IFERROR(__xludf.dummyfunction("""COMPUTED_VALUE"""),16370000000)</f>
        <v>16370000000</v>
      </c>
      <c r="F186" s="77" t="n">
        <f aca="false">IFERROR(__xludf.dummyfunction("""COMPUTED_VALUE"""),122800000)</f>
        <v>122800000</v>
      </c>
      <c r="G186" s="81" t="n">
        <f aca="false">IFERROR(__xludf.dummyfunction("""COMPUTED_VALUE"""),0)</f>
        <v>0</v>
      </c>
      <c r="H186" s="81" t="n">
        <f aca="false">IFERROR(__xludf.dummyfunction("""COMPUTED_VALUE"""),63500000)</f>
        <v>63500000</v>
      </c>
      <c r="I186" s="77" t="n">
        <f aca="false">IFERROR(__xludf.dummyfunction("""COMPUTED_VALUE"""),1)</f>
        <v>1</v>
      </c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</row>
    <row r="187" customFormat="false" ht="15.75" hidden="false" customHeight="true" outlineLevel="0" collapsed="false">
      <c r="A187" s="51" t="s">
        <v>1547</v>
      </c>
      <c r="B187" s="86" t="str">
        <f aca="false">IFERROR(__xludf.dummyfunction("""COMPUTED_VALUE"""),"Ziricote")</f>
        <v>Ziricote</v>
      </c>
      <c r="C187" s="83" t="n">
        <f aca="false">IFERROR(__xludf.dummyfunction("""COMPUTED_VALUE"""),805)</f>
        <v>805</v>
      </c>
      <c r="D187" s="82" t="n">
        <f aca="false">IFERROR(__xludf.dummyfunction("""COMPUTED_VALUE"""),0.375692307692308)</f>
        <v>0.375692307692308</v>
      </c>
      <c r="E187" s="77" t="n">
        <f aca="false">IFERROR(__xludf.dummyfunction("""COMPUTED_VALUE"""),10930000000)</f>
        <v>10930000000</v>
      </c>
      <c r="F187" s="77" t="n">
        <f aca="false">IFERROR(__xludf.dummyfunction("""COMPUTED_VALUE"""),113100000)</f>
        <v>113100000</v>
      </c>
      <c r="G187" s="85" t="n">
        <f aca="false">IFERROR(__xludf.dummyfunction("""COMPUTED_VALUE"""),0)</f>
        <v>0</v>
      </c>
      <c r="H187" s="85" t="n">
        <f aca="false">IFERROR(__xludf.dummyfunction("""COMPUTED_VALUE"""),63900000)</f>
        <v>63900000</v>
      </c>
      <c r="I187" s="85" t="n">
        <f aca="false">IFERROR(__xludf.dummyfunction("""COMPUTED_VALUE"""),1)</f>
        <v>1</v>
      </c>
      <c r="J187" s="85"/>
      <c r="K187" s="77"/>
      <c r="L187" s="77"/>
      <c r="M187" s="77"/>
      <c r="N187" s="77"/>
      <c r="O187" s="77"/>
      <c r="P187" s="77"/>
      <c r="Q187" s="85"/>
      <c r="R187" s="85"/>
      <c r="S187" s="77"/>
      <c r="T187" s="77"/>
      <c r="U187" s="77"/>
      <c r="V187" s="77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</row>
    <row r="188" customFormat="false" ht="15.75" hidden="false" customHeight="true" outlineLevel="0" collapsed="false">
      <c r="A188" s="51" t="s">
        <v>1547</v>
      </c>
      <c r="B188" s="79" t="str">
        <f aca="false">IFERROR(__xludf.dummyfunction("""COMPUTED_VALUE"""),"Oregon White Oak")</f>
        <v>Oregon White Oak</v>
      </c>
      <c r="C188" s="80" t="n">
        <f aca="false">IFERROR(__xludf.dummyfunction("""COMPUTED_VALUE"""),815)</f>
        <v>815</v>
      </c>
      <c r="D188" s="82" t="n">
        <f aca="false">IFERROR(__xludf.dummyfunction("""COMPUTED_VALUE"""),0.375692307692308)</f>
        <v>0.375692307692308</v>
      </c>
      <c r="E188" s="77" t="n">
        <f aca="false">IFERROR(__xludf.dummyfunction("""COMPUTED_VALUE"""),7510000000)</f>
        <v>7510000000</v>
      </c>
      <c r="F188" s="77" t="n">
        <f aca="false">IFERROR(__xludf.dummyfunction("""COMPUTED_VALUE"""),70300000)</f>
        <v>70300000</v>
      </c>
      <c r="G188" s="81" t="n">
        <f aca="false">IFERROR(__xludf.dummyfunction("""COMPUTED_VALUE"""),0)</f>
        <v>0</v>
      </c>
      <c r="H188" s="81" t="n">
        <f aca="false">IFERROR(__xludf.dummyfunction("""COMPUTED_VALUE"""),50500000)</f>
        <v>50500000</v>
      </c>
      <c r="I188" s="77" t="n">
        <f aca="false">IFERROR(__xludf.dummyfunction("""COMPUTED_VALUE"""),1)</f>
        <v>1</v>
      </c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</row>
    <row r="189" customFormat="false" ht="15.75" hidden="false" customHeight="true" outlineLevel="0" collapsed="false">
      <c r="A189" s="51" t="s">
        <v>1547</v>
      </c>
      <c r="B189" s="79" t="str">
        <f aca="false">IFERROR(__xludf.dummyfunction("""COMPUTED_VALUE"""),"Blue Gum (eucalyptus)")</f>
        <v>Blue Gum (eucalyptus)</v>
      </c>
      <c r="C189" s="80" t="n">
        <f aca="false">IFERROR(__xludf.dummyfunction("""COMPUTED_VALUE"""),820)</f>
        <v>820</v>
      </c>
      <c r="D189" s="82" t="n">
        <f aca="false">IFERROR(__xludf.dummyfunction("""COMPUTED_VALUE"""),0.375692307692308)</f>
        <v>0.375692307692308</v>
      </c>
      <c r="E189" s="77" t="n">
        <f aca="false">IFERROR(__xludf.dummyfunction("""COMPUTED_VALUE"""),18760000000)</f>
        <v>18760000000</v>
      </c>
      <c r="F189" s="77" t="n">
        <f aca="false">IFERROR(__xludf.dummyfunction("""COMPUTED_VALUE"""),134700000)</f>
        <v>134700000</v>
      </c>
      <c r="G189" s="81" t="n">
        <f aca="false">IFERROR(__xludf.dummyfunction("""COMPUTED_VALUE"""),0)</f>
        <v>0</v>
      </c>
      <c r="H189" s="81" t="n">
        <f aca="false">IFERROR(__xludf.dummyfunction("""COMPUTED_VALUE"""),76900000)</f>
        <v>76900000</v>
      </c>
      <c r="I189" s="77" t="n">
        <f aca="false">IFERROR(__xludf.dummyfunction("""COMPUTED_VALUE"""),1)</f>
        <v>1</v>
      </c>
      <c r="J189" s="81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</row>
    <row r="190" customFormat="false" ht="15.75" hidden="false" customHeight="true" outlineLevel="0" collapsed="false">
      <c r="A190" s="51" t="s">
        <v>1547</v>
      </c>
      <c r="B190" s="79" t="str">
        <f aca="false">IFERROR(__xludf.dummyfunction("""COMPUTED_VALUE"""),"Honey Mesquite")</f>
        <v>Honey Mesquite</v>
      </c>
      <c r="C190" s="80" t="n">
        <f aca="false">IFERROR(__xludf.dummyfunction("""COMPUTED_VALUE"""),820)</f>
        <v>820</v>
      </c>
      <c r="D190" s="82" t="n">
        <f aca="false">IFERROR(__xludf.dummyfunction("""COMPUTED_VALUE"""),0.375692307692308)</f>
        <v>0.375692307692308</v>
      </c>
      <c r="E190" s="77"/>
      <c r="F190" s="77"/>
      <c r="G190" s="81" t="n">
        <f aca="false">IFERROR(__xludf.dummyfunction("""COMPUTED_VALUE"""),0)</f>
        <v>0</v>
      </c>
      <c r="H190" s="81"/>
      <c r="I190" s="77" t="n">
        <f aca="false">IFERROR(__xludf.dummyfunction("""COMPUTED_VALUE"""),1)</f>
        <v>1</v>
      </c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</row>
    <row r="191" customFormat="false" ht="15.75" hidden="false" customHeight="true" outlineLevel="0" collapsed="false">
      <c r="A191" s="51" t="s">
        <v>1547</v>
      </c>
      <c r="B191" s="79" t="str">
        <f aca="false">IFERROR(__xludf.dummyfunction("""COMPUTED_VALUE"""),"Ovangkol (Shedua, Amazique)")</f>
        <v>Ovangkol (Shedua, Amazique)</v>
      </c>
      <c r="C191" s="80" t="n">
        <f aca="false">IFERROR(__xludf.dummyfunction("""COMPUTED_VALUE"""),825)</f>
        <v>825</v>
      </c>
      <c r="D191" s="82" t="n">
        <f aca="false">IFERROR(__xludf.dummyfunction("""COMPUTED_VALUE"""),0.375692307692308)</f>
        <v>0.375692307692308</v>
      </c>
      <c r="E191" s="77" t="n">
        <f aca="false">IFERROR(__xludf.dummyfunction("""COMPUTED_VALUE"""),18600000000)</f>
        <v>18600000000</v>
      </c>
      <c r="F191" s="77" t="n">
        <f aca="false">IFERROR(__xludf.dummyfunction("""COMPUTED_VALUE"""),140300000)</f>
        <v>140300000</v>
      </c>
      <c r="G191" s="81" t="n">
        <f aca="false">IFERROR(__xludf.dummyfunction("""COMPUTED_VALUE"""),0)</f>
        <v>0</v>
      </c>
      <c r="H191" s="81" t="n">
        <f aca="false">IFERROR(__xludf.dummyfunction("""COMPUTED_VALUE"""),64200000)</f>
        <v>64200000</v>
      </c>
      <c r="I191" s="77" t="n">
        <f aca="false">IFERROR(__xludf.dummyfunction("""COMPUTED_VALUE"""),1)</f>
        <v>1</v>
      </c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</row>
    <row r="192" customFormat="false" ht="15.75" hidden="false" customHeight="true" outlineLevel="0" collapsed="false">
      <c r="A192" s="51" t="s">
        <v>1547</v>
      </c>
      <c r="B192" s="79" t="str">
        <f aca="false">IFERROR(__xludf.dummyfunction("""COMPUTED_VALUE"""),"Yellowheart (Pau Amarello)")</f>
        <v>Yellowheart (Pau Amarello)</v>
      </c>
      <c r="C192" s="80" t="n">
        <f aca="false">IFERROR(__xludf.dummyfunction("""COMPUTED_VALUE"""),825)</f>
        <v>825</v>
      </c>
      <c r="D192" s="82" t="n">
        <f aca="false">IFERROR(__xludf.dummyfunction("""COMPUTED_VALUE"""),0.375692307692308)</f>
        <v>0.375692307692308</v>
      </c>
      <c r="E192" s="77" t="n">
        <f aca="false">IFERROR(__xludf.dummyfunction("""COMPUTED_VALUE"""),16640000000)</f>
        <v>16640000000</v>
      </c>
      <c r="F192" s="77" t="n">
        <f aca="false">IFERROR(__xludf.dummyfunction("""COMPUTED_VALUE"""),115900000)</f>
        <v>115900000</v>
      </c>
      <c r="G192" s="81" t="n">
        <f aca="false">IFERROR(__xludf.dummyfunction("""COMPUTED_VALUE"""),0)</f>
        <v>0</v>
      </c>
      <c r="H192" s="81" t="n">
        <f aca="false">IFERROR(__xludf.dummyfunction("""COMPUTED_VALUE"""),69500000)</f>
        <v>69500000</v>
      </c>
      <c r="I192" s="77" t="n">
        <f aca="false">IFERROR(__xludf.dummyfunction("""COMPUTED_VALUE"""),1)</f>
        <v>1</v>
      </c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</row>
    <row r="193" customFormat="false" ht="15.75" hidden="false" customHeight="true" outlineLevel="0" collapsed="false">
      <c r="A193" s="51" t="s">
        <v>1547</v>
      </c>
      <c r="B193" s="79" t="str">
        <f aca="false">IFERROR(__xludf.dummyfunction("""COMPUTED_VALUE"""),"Apple")</f>
        <v>Apple</v>
      </c>
      <c r="C193" s="80" t="n">
        <f aca="false">IFERROR(__xludf.dummyfunction("""COMPUTED_VALUE"""),830)</f>
        <v>830</v>
      </c>
      <c r="D193" s="82" t="n">
        <f aca="false">IFERROR(__xludf.dummyfunction("""COMPUTED_VALUE"""),0.375692307692308)</f>
        <v>0.375692307692308</v>
      </c>
      <c r="E193" s="77" t="n">
        <f aca="false">IFERROR(__xludf.dummyfunction("""COMPUTED_VALUE"""),8760000000)</f>
        <v>8760000000</v>
      </c>
      <c r="F193" s="77" t="n">
        <f aca="false">IFERROR(__xludf.dummyfunction("""COMPUTED_VALUE"""),88300000)</f>
        <v>88300000</v>
      </c>
      <c r="G193" s="81" t="n">
        <f aca="false">IFERROR(__xludf.dummyfunction("""COMPUTED_VALUE"""),0)</f>
        <v>0</v>
      </c>
      <c r="H193" s="81" t="n">
        <f aca="false">IFERROR(__xludf.dummyfunction("""COMPUTED_VALUE"""),41600000)</f>
        <v>41600000</v>
      </c>
      <c r="I193" s="77" t="n">
        <f aca="false">IFERROR(__xludf.dummyfunction("""COMPUTED_VALUE"""),1)</f>
        <v>1</v>
      </c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</row>
    <row r="194" customFormat="false" ht="15.75" hidden="false" customHeight="true" outlineLevel="0" collapsed="false">
      <c r="A194" s="51" t="s">
        <v>1547</v>
      </c>
      <c r="B194" s="79" t="str">
        <f aca="false">IFERROR(__xludf.dummyfunction("""COMPUTED_VALUE"""),"Canarywood")</f>
        <v>Canarywood</v>
      </c>
      <c r="C194" s="80" t="n">
        <f aca="false">IFERROR(__xludf.dummyfunction("""COMPUTED_VALUE"""),830)</f>
        <v>830</v>
      </c>
      <c r="D194" s="82" t="n">
        <f aca="false">IFERROR(__xludf.dummyfunction("""COMPUTED_VALUE"""),0.375692307692308)</f>
        <v>0.375692307692308</v>
      </c>
      <c r="E194" s="77" t="n">
        <f aca="false">IFERROR(__xludf.dummyfunction("""COMPUTED_VALUE"""),14930000000)</f>
        <v>14930000000</v>
      </c>
      <c r="F194" s="77" t="n">
        <f aca="false">IFERROR(__xludf.dummyfunction("""COMPUTED_VALUE"""),131600000)</f>
        <v>131600000</v>
      </c>
      <c r="G194" s="81" t="n">
        <f aca="false">IFERROR(__xludf.dummyfunction("""COMPUTED_VALUE"""),0)</f>
        <v>0</v>
      </c>
      <c r="H194" s="81" t="n">
        <f aca="false">IFERROR(__xludf.dummyfunction("""COMPUTED_VALUE"""),67200000)</f>
        <v>67200000</v>
      </c>
      <c r="I194" s="77" t="n">
        <f aca="false">IFERROR(__xludf.dummyfunction("""COMPUTED_VALUE"""),1)</f>
        <v>1</v>
      </c>
      <c r="J194" s="81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</row>
    <row r="195" customFormat="false" ht="15.75" hidden="false" customHeight="true" outlineLevel="0" collapsed="false">
      <c r="A195" s="51" t="s">
        <v>1547</v>
      </c>
      <c r="B195" s="79" t="str">
        <f aca="false">IFERROR(__xludf.dummyfunction("""COMPUTED_VALUE"""),"East Indian Rosewood")</f>
        <v>East Indian Rosewood</v>
      </c>
      <c r="C195" s="80" t="n">
        <f aca="false">IFERROR(__xludf.dummyfunction("""COMPUTED_VALUE"""),830)</f>
        <v>830</v>
      </c>
      <c r="D195" s="82" t="n">
        <f aca="false">IFERROR(__xludf.dummyfunction("""COMPUTED_VALUE"""),0.375692307692308)</f>
        <v>0.375692307692308</v>
      </c>
      <c r="E195" s="77" t="n">
        <f aca="false">IFERROR(__xludf.dummyfunction("""COMPUTED_VALUE"""),11500000000)</f>
        <v>11500000000</v>
      </c>
      <c r="F195" s="77" t="n">
        <f aca="false">IFERROR(__xludf.dummyfunction("""COMPUTED_VALUE"""),114400000)</f>
        <v>114400000</v>
      </c>
      <c r="G195" s="81" t="n">
        <f aca="false">IFERROR(__xludf.dummyfunction("""COMPUTED_VALUE"""),0)</f>
        <v>0</v>
      </c>
      <c r="H195" s="81" t="n">
        <f aca="false">IFERROR(__xludf.dummyfunction("""COMPUTED_VALUE"""),59700000)</f>
        <v>59700000</v>
      </c>
      <c r="I195" s="77" t="n">
        <f aca="false">IFERROR(__xludf.dummyfunction("""COMPUTED_VALUE"""),1)</f>
        <v>1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</row>
    <row r="196" customFormat="false" ht="15.75" hidden="false" customHeight="true" outlineLevel="0" collapsed="false">
      <c r="A196" s="51" t="s">
        <v>1547</v>
      </c>
      <c r="B196" s="79" t="str">
        <f aca="false">IFERROR(__xludf.dummyfunction("""COMPUTED_VALUE"""),"Partridgewood")</f>
        <v>Partridgewood</v>
      </c>
      <c r="C196" s="80" t="n">
        <f aca="false">IFERROR(__xludf.dummyfunction("""COMPUTED_VALUE"""),835)</f>
        <v>835</v>
      </c>
      <c r="D196" s="82" t="n">
        <f aca="false">IFERROR(__xludf.dummyfunction("""COMPUTED_VALUE"""),0.375692307692308)</f>
        <v>0.375692307692308</v>
      </c>
      <c r="E196" s="77" t="n">
        <f aca="false">IFERROR(__xludf.dummyfunction("""COMPUTED_VALUE"""),18170000000)</f>
        <v>18170000000</v>
      </c>
      <c r="F196" s="77" t="n">
        <f aca="false">IFERROR(__xludf.dummyfunction("""COMPUTED_VALUE"""),127500000)</f>
        <v>127500000</v>
      </c>
      <c r="G196" s="81" t="n">
        <f aca="false">IFERROR(__xludf.dummyfunction("""COMPUTED_VALUE"""),0)</f>
        <v>0</v>
      </c>
      <c r="H196" s="81" t="n">
        <f aca="false">IFERROR(__xludf.dummyfunction("""COMPUTED_VALUE"""),64100000)</f>
        <v>64100000</v>
      </c>
      <c r="I196" s="77" t="n">
        <f aca="false">IFERROR(__xludf.dummyfunction("""COMPUTED_VALUE"""),1)</f>
        <v>1</v>
      </c>
      <c r="J196" s="81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</row>
    <row r="197" customFormat="false" ht="15.75" hidden="false" customHeight="true" outlineLevel="0" collapsed="false">
      <c r="A197" s="51" t="s">
        <v>1547</v>
      </c>
      <c r="B197" s="79" t="str">
        <f aca="false">IFERROR(__xludf.dummyfunction("""COMPUTED_VALUE"""),"Pignut Hickory")</f>
        <v>Pignut Hickory</v>
      </c>
      <c r="C197" s="80" t="n">
        <f aca="false">IFERROR(__xludf.dummyfunction("""COMPUTED_VALUE"""),835)</f>
        <v>835</v>
      </c>
      <c r="D197" s="82" t="n">
        <f aca="false">IFERROR(__xludf.dummyfunction("""COMPUTED_VALUE"""),0.375692307692308)</f>
        <v>0.375692307692308</v>
      </c>
      <c r="E197" s="77" t="n">
        <f aca="false">IFERROR(__xludf.dummyfunction("""COMPUTED_VALUE"""),15590000000)</f>
        <v>15590000000</v>
      </c>
      <c r="F197" s="77" t="n">
        <f aca="false">IFERROR(__xludf.dummyfunction("""COMPUTED_VALUE"""),138600000)</f>
        <v>138600000</v>
      </c>
      <c r="G197" s="81" t="n">
        <f aca="false">IFERROR(__xludf.dummyfunction("""COMPUTED_VALUE"""),0)</f>
        <v>0</v>
      </c>
      <c r="H197" s="81" t="n">
        <f aca="false">IFERROR(__xludf.dummyfunction("""COMPUTED_VALUE"""),63400000)</f>
        <v>63400000</v>
      </c>
      <c r="I197" s="77" t="n">
        <f aca="false">IFERROR(__xludf.dummyfunction("""COMPUTED_VALUE"""),1)</f>
        <v>1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</row>
    <row r="198" customFormat="false" ht="15.75" hidden="false" customHeight="true" outlineLevel="0" collapsed="false">
      <c r="A198" s="51" t="s">
        <v>1547</v>
      </c>
      <c r="B198" s="79" t="str">
        <f aca="false">IFERROR(__xludf.dummyfunction("""COMPUTED_VALUE"""),"Persimmon (Ebony)")</f>
        <v>Persimmon (Ebony)</v>
      </c>
      <c r="C198" s="80" t="n">
        <f aca="false">IFERROR(__xludf.dummyfunction("""COMPUTED_VALUE"""),835)</f>
        <v>835</v>
      </c>
      <c r="D198" s="82" t="n">
        <f aca="false">IFERROR(__xludf.dummyfunction("""COMPUTED_VALUE"""),0.375692307692308)</f>
        <v>0.375692307692308</v>
      </c>
      <c r="E198" s="77" t="n">
        <f aca="false">IFERROR(__xludf.dummyfunction("""COMPUTED_VALUE"""),13860000000)</f>
        <v>13860000000</v>
      </c>
      <c r="F198" s="77" t="n">
        <f aca="false">IFERROR(__xludf.dummyfunction("""COMPUTED_VALUE"""),122100000)</f>
        <v>122100000</v>
      </c>
      <c r="G198" s="81" t="n">
        <f aca="false">IFERROR(__xludf.dummyfunction("""COMPUTED_VALUE"""),0)</f>
        <v>0</v>
      </c>
      <c r="H198" s="81" t="n">
        <f aca="false">IFERROR(__xludf.dummyfunction("""COMPUTED_VALUE"""),63200000)</f>
        <v>63200000</v>
      </c>
      <c r="I198" s="77" t="n">
        <f aca="false">IFERROR(__xludf.dummyfunction("""COMPUTED_VALUE"""),1)</f>
        <v>1</v>
      </c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</row>
    <row r="199" customFormat="false" ht="15.75" hidden="false" customHeight="true" outlineLevel="0" collapsed="false">
      <c r="A199" s="51" t="s">
        <v>1547</v>
      </c>
      <c r="B199" s="79" t="str">
        <f aca="false">IFERROR(__xludf.dummyfunction("""COMPUTED_VALUE"""),"Jarrah (eucalyptus)")</f>
        <v>Jarrah (eucalyptus)</v>
      </c>
      <c r="C199" s="80" t="n">
        <f aca="false">IFERROR(__xludf.dummyfunction("""COMPUTED_VALUE"""),835)</f>
        <v>835</v>
      </c>
      <c r="D199" s="82" t="n">
        <f aca="false">IFERROR(__xludf.dummyfunction("""COMPUTED_VALUE"""),0.375692307692308)</f>
        <v>0.375692307692308</v>
      </c>
      <c r="E199" s="77" t="n">
        <f aca="false">IFERROR(__xludf.dummyfunction("""COMPUTED_VALUE"""),14700000000)</f>
        <v>14700000000</v>
      </c>
      <c r="F199" s="77" t="n">
        <f aca="false">IFERROR(__xludf.dummyfunction("""COMPUTED_VALUE"""),108000000)</f>
        <v>108000000</v>
      </c>
      <c r="G199" s="81" t="n">
        <f aca="false">IFERROR(__xludf.dummyfunction("""COMPUTED_VALUE"""),0)</f>
        <v>0</v>
      </c>
      <c r="H199" s="81" t="n">
        <f aca="false">IFERROR(__xludf.dummyfunction("""COMPUTED_VALUE"""),66200000)</f>
        <v>66200000</v>
      </c>
      <c r="I199" s="77" t="n">
        <f aca="false">IFERROR(__xludf.dummyfunction("""COMPUTED_VALUE"""),1)</f>
        <v>1</v>
      </c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</row>
    <row r="200" customFormat="false" ht="15.75" hidden="false" customHeight="true" outlineLevel="0" collapsed="false">
      <c r="A200" s="51" t="s">
        <v>1547</v>
      </c>
      <c r="B200" s="79" t="str">
        <f aca="false">IFERROR(__xludf.dummyfunction("""COMPUTED_VALUE"""),"Brazilian Rosewood")</f>
        <v>Brazilian Rosewood</v>
      </c>
      <c r="C200" s="80" t="n">
        <f aca="false">IFERROR(__xludf.dummyfunction("""COMPUTED_VALUE"""),835)</f>
        <v>835</v>
      </c>
      <c r="D200" s="82" t="n">
        <f aca="false">IFERROR(__xludf.dummyfunction("""COMPUTED_VALUE"""),0.375692307692308)</f>
        <v>0.375692307692308</v>
      </c>
      <c r="E200" s="77" t="n">
        <f aca="false">IFERROR(__xludf.dummyfunction("""COMPUTED_VALUE"""),13930000000)</f>
        <v>13930000000</v>
      </c>
      <c r="F200" s="77" t="n">
        <f aca="false">IFERROR(__xludf.dummyfunction("""COMPUTED_VALUE"""),135000000)</f>
        <v>135000000</v>
      </c>
      <c r="G200" s="81" t="n">
        <f aca="false">IFERROR(__xludf.dummyfunction("""COMPUTED_VALUE"""),0)</f>
        <v>0</v>
      </c>
      <c r="H200" s="81" t="n">
        <f aca="false">IFERROR(__xludf.dummyfunction("""COMPUTED_VALUE"""),67200000)</f>
        <v>67200000</v>
      </c>
      <c r="I200" s="77" t="n">
        <f aca="false">IFERROR(__xludf.dummyfunction("""COMPUTED_VALUE"""),1)</f>
        <v>1</v>
      </c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</row>
    <row r="201" customFormat="false" ht="15.75" hidden="false" customHeight="true" outlineLevel="0" collapsed="false">
      <c r="A201" s="51" t="s">
        <v>1547</v>
      </c>
      <c r="B201" s="79" t="str">
        <f aca="false">IFERROR(__xludf.dummyfunction("""COMPUTED_VALUE"""),"Indian Laurel")</f>
        <v>Indian Laurel</v>
      </c>
      <c r="C201" s="80" t="n">
        <f aca="false">IFERROR(__xludf.dummyfunction("""COMPUTED_VALUE"""),855)</f>
        <v>855</v>
      </c>
      <c r="D201" s="82" t="n">
        <f aca="false">IFERROR(__xludf.dummyfunction("""COMPUTED_VALUE"""),0.375692307692308)</f>
        <v>0.375692307692308</v>
      </c>
      <c r="E201" s="77" t="n">
        <f aca="false">IFERROR(__xludf.dummyfunction("""COMPUTED_VALUE"""),12460000000)</f>
        <v>12460000000</v>
      </c>
      <c r="F201" s="77" t="n">
        <f aca="false">IFERROR(__xludf.dummyfunction("""COMPUTED_VALUE"""),101400000)</f>
        <v>101400000</v>
      </c>
      <c r="G201" s="81" t="n">
        <f aca="false">IFERROR(__xludf.dummyfunction("""COMPUTED_VALUE"""),0)</f>
        <v>0</v>
      </c>
      <c r="H201" s="81" t="n">
        <f aca="false">IFERROR(__xludf.dummyfunction("""COMPUTED_VALUE"""),56700000)</f>
        <v>56700000</v>
      </c>
      <c r="I201" s="77" t="n">
        <f aca="false">IFERROR(__xludf.dummyfunction("""COMPUTED_VALUE"""),1)</f>
        <v>1</v>
      </c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</row>
    <row r="202" customFormat="false" ht="15.75" hidden="false" customHeight="true" outlineLevel="0" collapsed="false">
      <c r="A202" s="51" t="s">
        <v>1547</v>
      </c>
      <c r="B202" s="79" t="str">
        <f aca="false">IFERROR(__xludf.dummyfunction("""COMPUTED_VALUE"""),"Bocote")</f>
        <v>Bocote</v>
      </c>
      <c r="C202" s="80" t="n">
        <f aca="false">IFERROR(__xludf.dummyfunction("""COMPUTED_VALUE"""),855)</f>
        <v>855</v>
      </c>
      <c r="D202" s="82" t="n">
        <f aca="false">IFERROR(__xludf.dummyfunction("""COMPUTED_VALUE"""),0.375692307692308)</f>
        <v>0.375692307692308</v>
      </c>
      <c r="E202" s="77" t="n">
        <f aca="false">IFERROR(__xludf.dummyfunction("""COMPUTED_VALUE"""),12190000000)</f>
        <v>12190000000</v>
      </c>
      <c r="F202" s="77" t="n">
        <f aca="false">IFERROR(__xludf.dummyfunction("""COMPUTED_VALUE"""),114400000)</f>
        <v>114400000</v>
      </c>
      <c r="G202" s="81" t="n">
        <f aca="false">IFERROR(__xludf.dummyfunction("""COMPUTED_VALUE"""),0)</f>
        <v>0</v>
      </c>
      <c r="H202" s="81" t="n">
        <f aca="false">IFERROR(__xludf.dummyfunction("""COMPUTED_VALUE"""),59400000)</f>
        <v>59400000</v>
      </c>
      <c r="I202" s="77" t="n">
        <f aca="false">IFERROR(__xludf.dummyfunction("""COMPUTED_VALUE"""),1)</f>
        <v>1</v>
      </c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</row>
    <row r="203" customFormat="false" ht="15.75" hidden="false" customHeight="true" outlineLevel="0" collapsed="false">
      <c r="A203" s="51" t="s">
        <v>1547</v>
      </c>
      <c r="B203" s="79" t="str">
        <f aca="false">IFERROR(__xludf.dummyfunction("""COMPUTED_VALUE"""),"Osage Orange")</f>
        <v>Osage Orange</v>
      </c>
      <c r="C203" s="80" t="n">
        <f aca="false">IFERROR(__xludf.dummyfunction("""COMPUTED_VALUE"""),855)</f>
        <v>855</v>
      </c>
      <c r="D203" s="82" t="n">
        <f aca="false">IFERROR(__xludf.dummyfunction("""COMPUTED_VALUE"""),0.375692307692308)</f>
        <v>0.375692307692308</v>
      </c>
      <c r="E203" s="77" t="n">
        <f aca="false">IFERROR(__xludf.dummyfunction("""COMPUTED_VALUE"""),11640000000)</f>
        <v>11640000000</v>
      </c>
      <c r="F203" s="77" t="n">
        <f aca="false">IFERROR(__xludf.dummyfunction("""COMPUTED_VALUE"""),128600000)</f>
        <v>128600000</v>
      </c>
      <c r="G203" s="81" t="n">
        <f aca="false">IFERROR(__xludf.dummyfunction("""COMPUTED_VALUE"""),0)</f>
        <v>0</v>
      </c>
      <c r="H203" s="81" t="n">
        <f aca="false">IFERROR(__xludf.dummyfunction("""COMPUTED_VALUE"""),64700000)</f>
        <v>64700000</v>
      </c>
      <c r="I203" s="77" t="n">
        <f aca="false">IFERROR(__xludf.dummyfunction("""COMPUTED_VALUE"""),1)</f>
        <v>1</v>
      </c>
      <c r="J203" s="81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</row>
    <row r="204" customFormat="false" ht="15.75" hidden="false" customHeight="true" outlineLevel="0" collapsed="false">
      <c r="A204" s="51" t="s">
        <v>1547</v>
      </c>
      <c r="B204" s="79" t="str">
        <f aca="false">IFERROR(__xludf.dummyfunction("""COMPUTED_VALUE"""),"Pau Ferro (not rosewood)")</f>
        <v>Pau Ferro (not rosewood)</v>
      </c>
      <c r="C204" s="80" t="n">
        <f aca="false">IFERROR(__xludf.dummyfunction("""COMPUTED_VALUE"""),865)</f>
        <v>865</v>
      </c>
      <c r="D204" s="82" t="n">
        <f aca="false">IFERROR(__xludf.dummyfunction("""COMPUTED_VALUE"""),0.375692307692308)</f>
        <v>0.375692307692308</v>
      </c>
      <c r="E204" s="77" t="n">
        <f aca="false">IFERROR(__xludf.dummyfunction("""COMPUTED_VALUE"""),10860000000)</f>
        <v>10860000000</v>
      </c>
      <c r="F204" s="77" t="n">
        <f aca="false">IFERROR(__xludf.dummyfunction("""COMPUTED_VALUE"""),122400000)</f>
        <v>122400000</v>
      </c>
      <c r="G204" s="81" t="n">
        <f aca="false">IFERROR(__xludf.dummyfunction("""COMPUTED_VALUE"""),0)</f>
        <v>0</v>
      </c>
      <c r="H204" s="81" t="n">
        <f aca="false">IFERROR(__xludf.dummyfunction("""COMPUTED_VALUE"""),60900000)</f>
        <v>60900000</v>
      </c>
      <c r="I204" s="77" t="n">
        <f aca="false">IFERROR(__xludf.dummyfunction("""COMPUTED_VALUE"""),1)</f>
        <v>1</v>
      </c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</row>
    <row r="205" customFormat="false" ht="15.75" hidden="false" customHeight="true" outlineLevel="0" collapsed="false">
      <c r="A205" s="51" t="s">
        <v>1547</v>
      </c>
      <c r="B205" s="79" t="str">
        <f aca="false">IFERROR(__xludf.dummyfunction("""COMPUTED_VALUE"""),"Burma Padauk")</f>
        <v>Burma Padauk</v>
      </c>
      <c r="C205" s="80" t="n">
        <f aca="false">IFERROR(__xludf.dummyfunction("""COMPUTED_VALUE"""),865)</f>
        <v>865</v>
      </c>
      <c r="D205" s="82" t="n">
        <f aca="false">IFERROR(__xludf.dummyfunction("""COMPUTED_VALUE"""),0.375692307692308)</f>
        <v>0.375692307692308</v>
      </c>
      <c r="E205" s="77" t="n">
        <f aca="false">IFERROR(__xludf.dummyfunction("""COMPUTED_VALUE"""),14140000000)</f>
        <v>14140000000</v>
      </c>
      <c r="F205" s="77" t="n">
        <f aca="false">IFERROR(__xludf.dummyfunction("""COMPUTED_VALUE"""),138800000)</f>
        <v>138800000</v>
      </c>
      <c r="G205" s="81" t="n">
        <f aca="false">IFERROR(__xludf.dummyfunction("""COMPUTED_VALUE"""),0)</f>
        <v>0</v>
      </c>
      <c r="H205" s="81" t="n">
        <f aca="false">IFERROR(__xludf.dummyfunction("""COMPUTED_VALUE"""),62300000)</f>
        <v>62300000</v>
      </c>
      <c r="I205" s="77" t="n">
        <f aca="false">IFERROR(__xludf.dummyfunction("""COMPUTED_VALUE"""),1)</f>
        <v>1</v>
      </c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</row>
    <row r="206" customFormat="false" ht="15.75" hidden="false" customHeight="true" outlineLevel="0" collapsed="false">
      <c r="A206" s="51" t="s">
        <v>1547</v>
      </c>
      <c r="B206" s="79" t="str">
        <f aca="false">IFERROR(__xludf.dummyfunction("""COMPUTED_VALUE"""),"Wenge")</f>
        <v>Wenge</v>
      </c>
      <c r="C206" s="80" t="n">
        <f aca="false">IFERROR(__xludf.dummyfunction("""COMPUTED_VALUE"""),870)</f>
        <v>870</v>
      </c>
      <c r="D206" s="82" t="n">
        <f aca="false">IFERROR(__xludf.dummyfunction("""COMPUTED_VALUE"""),0.375692307692308)</f>
        <v>0.375692307692308</v>
      </c>
      <c r="E206" s="77" t="n">
        <f aca="false">IFERROR(__xludf.dummyfunction("""COMPUTED_VALUE"""),17590000000)</f>
        <v>17590000000</v>
      </c>
      <c r="F206" s="77" t="n">
        <f aca="false">IFERROR(__xludf.dummyfunction("""COMPUTED_VALUE"""),151700000)</f>
        <v>151700000</v>
      </c>
      <c r="G206" s="81" t="n">
        <f aca="false">IFERROR(__xludf.dummyfunction("""COMPUTED_VALUE"""),0)</f>
        <v>0</v>
      </c>
      <c r="H206" s="81" t="n">
        <f aca="false">IFERROR(__xludf.dummyfunction("""COMPUTED_VALUE"""),80700000)</f>
        <v>80700000</v>
      </c>
      <c r="I206" s="77" t="n">
        <f aca="false">IFERROR(__xludf.dummyfunction("""COMPUTED_VALUE"""),1)</f>
        <v>1</v>
      </c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</row>
    <row r="207" customFormat="false" ht="15.75" hidden="false" customHeight="true" outlineLevel="0" collapsed="false">
      <c r="A207" s="51" t="s">
        <v>1547</v>
      </c>
      <c r="B207" s="79" t="str">
        <f aca="false">IFERROR(__xludf.dummyfunction("""COMPUTED_VALUE"""),"Chechen")</f>
        <v>Chechen</v>
      </c>
      <c r="C207" s="80" t="n">
        <f aca="false">IFERROR(__xludf.dummyfunction("""COMPUTED_VALUE"""),880)</f>
        <v>880</v>
      </c>
      <c r="D207" s="82" t="n">
        <f aca="false">IFERROR(__xludf.dummyfunction("""COMPUTED_VALUE"""),0.375692307692308)</f>
        <v>0.375692307692308</v>
      </c>
      <c r="E207" s="77" t="n">
        <f aca="false">IFERROR(__xludf.dummyfunction("""COMPUTED_VALUE"""),15530000000)</f>
        <v>15530000000</v>
      </c>
      <c r="F207" s="77" t="n">
        <f aca="false">IFERROR(__xludf.dummyfunction("""COMPUTED_VALUE"""),93000000)</f>
        <v>93000000</v>
      </c>
      <c r="G207" s="81" t="n">
        <f aca="false">IFERROR(__xludf.dummyfunction("""COMPUTED_VALUE"""),0)</f>
        <v>0</v>
      </c>
      <c r="H207" s="81" t="n">
        <f aca="false">IFERROR(__xludf.dummyfunction("""COMPUTED_VALUE"""),57000000)</f>
        <v>57000000</v>
      </c>
      <c r="I207" s="77" t="n">
        <f aca="false">IFERROR(__xludf.dummyfunction("""COMPUTED_VALUE"""),1)</f>
        <v>1</v>
      </c>
      <c r="J207" s="81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</row>
    <row r="208" customFormat="false" ht="15.75" hidden="false" customHeight="true" outlineLevel="0" collapsed="false">
      <c r="A208" s="51" t="s">
        <v>1547</v>
      </c>
      <c r="B208" s="79" t="str">
        <f aca="false">IFERROR(__xludf.dummyfunction("""COMPUTED_VALUE"""),"Panga Panga")</f>
        <v>Panga Panga</v>
      </c>
      <c r="C208" s="80" t="n">
        <f aca="false">IFERROR(__xludf.dummyfunction("""COMPUTED_VALUE"""),870)</f>
        <v>870</v>
      </c>
      <c r="D208" s="82" t="n">
        <f aca="false">IFERROR(__xludf.dummyfunction("""COMPUTED_VALUE"""),0.375692307692308)</f>
        <v>0.375692307692308</v>
      </c>
      <c r="E208" s="77" t="n">
        <f aca="false">IFERROR(__xludf.dummyfunction("""COMPUTED_VALUE"""),15730000000)</f>
        <v>15730000000</v>
      </c>
      <c r="F208" s="77" t="n">
        <f aca="false">IFERROR(__xludf.dummyfunction("""COMPUTED_VALUE"""),131200000)</f>
        <v>131200000</v>
      </c>
      <c r="G208" s="81" t="n">
        <f aca="false">IFERROR(__xludf.dummyfunction("""COMPUTED_VALUE"""),0)</f>
        <v>0</v>
      </c>
      <c r="H208" s="81" t="n">
        <f aca="false">IFERROR(__xludf.dummyfunction("""COMPUTED_VALUE"""),75100000)</f>
        <v>75100000</v>
      </c>
      <c r="I208" s="77" t="n">
        <f aca="false">IFERROR(__xludf.dummyfunction("""COMPUTED_VALUE"""),1)</f>
        <v>1</v>
      </c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</row>
    <row r="209" customFormat="false" ht="15.75" hidden="false" customHeight="true" outlineLevel="0" collapsed="false">
      <c r="A209" s="76"/>
      <c r="B209" s="76" t="str">
        <f aca="false">IFERROR(__xludf.dummyfunction("""COMPUTED_VALUE"""),"Leopardwood")</f>
        <v>Leopardwood</v>
      </c>
      <c r="C209" s="88" t="n">
        <f aca="false">IFERROR(__xludf.dummyfunction("""COMPUTED_VALUE"""),885)</f>
        <v>885</v>
      </c>
      <c r="D209" s="59" t="n">
        <f aca="false">IFERROR(__xludf.dummyfunction("""COMPUTED_VALUE"""),0.375692307692308)</f>
        <v>0.375692307692308</v>
      </c>
      <c r="E209" s="89" t="n">
        <f aca="false">IFERROR(__xludf.dummyfunction("""COMPUTED_VALUE"""),19910000000)</f>
        <v>19910000000</v>
      </c>
      <c r="F209" s="89"/>
      <c r="G209" s="89" t="n">
        <f aca="false">IFERROR(__xludf.dummyfunction("""COMPUTED_VALUE"""),0)</f>
        <v>0</v>
      </c>
      <c r="H209" s="89" t="n">
        <f aca="false">IFERROR(__xludf.dummyfunction("""COMPUTED_VALUE"""),50200000)</f>
        <v>50200000</v>
      </c>
      <c r="I209" s="90" t="n">
        <f aca="false">IFERROR(__xludf.dummyfunction("""COMPUTED_VALUE"""),1)</f>
        <v>1</v>
      </c>
      <c r="J209" s="89"/>
      <c r="K209" s="89"/>
      <c r="L209" s="89"/>
      <c r="M209" s="89"/>
      <c r="N209" s="90"/>
      <c r="O209" s="89"/>
      <c r="P209" s="89"/>
      <c r="Q209" s="89"/>
      <c r="R209" s="89"/>
      <c r="S209" s="89"/>
      <c r="T209" s="89"/>
      <c r="U209" s="89"/>
      <c r="V209" s="90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</row>
    <row r="210" customFormat="false" ht="15.75" hidden="false" customHeight="true" outlineLevel="0" collapsed="false">
      <c r="A210" s="76"/>
      <c r="B210" s="76" t="str">
        <f aca="false">IFERROR(__xludf.dummyfunction("""COMPUTED_VALUE"""),"Bubinga (African Rosewood)")</f>
        <v>Bubinga (African Rosewood)</v>
      </c>
      <c r="C210" s="88" t="n">
        <f aca="false">IFERROR(__xludf.dummyfunction("""COMPUTED_VALUE"""),890)</f>
        <v>890</v>
      </c>
      <c r="D210" s="59" t="n">
        <f aca="false">IFERROR(__xludf.dummyfunction("""COMPUTED_VALUE"""),0.375692307692308)</f>
        <v>0.375692307692308</v>
      </c>
      <c r="E210" s="89" t="n">
        <f aca="false">IFERROR(__xludf.dummyfunction("""COMPUTED_VALUE"""),18410000000)</f>
        <v>18410000000</v>
      </c>
      <c r="F210" s="89" t="n">
        <f aca="false">IFERROR(__xludf.dummyfunction("""COMPUTED_VALUE"""),168300000)</f>
        <v>168300000</v>
      </c>
      <c r="G210" s="89" t="n">
        <f aca="false">IFERROR(__xludf.dummyfunction("""COMPUTED_VALUE"""),0)</f>
        <v>0</v>
      </c>
      <c r="H210" s="89" t="n">
        <f aca="false">IFERROR(__xludf.dummyfunction("""COMPUTED_VALUE"""),75800000)</f>
        <v>75800000</v>
      </c>
      <c r="I210" s="90" t="n">
        <f aca="false">IFERROR(__xludf.dummyfunction("""COMPUTED_VALUE"""),1)</f>
        <v>1</v>
      </c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</row>
    <row r="211" customFormat="false" ht="15.75" hidden="false" customHeight="true" outlineLevel="0" collapsed="false">
      <c r="A211" s="76"/>
      <c r="B211" s="76" t="str">
        <f aca="false">IFERROR(__xludf.dummyfunction("""COMPUTED_VALUE"""),"Purpleheart (Amaranth)")</f>
        <v>Purpleheart (Amaranth)</v>
      </c>
      <c r="C211" s="88" t="n">
        <f aca="false">IFERROR(__xludf.dummyfunction("""COMPUTED_VALUE"""),905)</f>
        <v>905</v>
      </c>
      <c r="D211" s="59" t="n">
        <f aca="false">IFERROR(__xludf.dummyfunction("""COMPUTED_VALUE"""),0.375692307692308)</f>
        <v>0.375692307692308</v>
      </c>
      <c r="E211" s="89" t="n">
        <f aca="false">IFERROR(__xludf.dummyfunction("""COMPUTED_VALUE"""),20260000000)</f>
        <v>20260000000</v>
      </c>
      <c r="F211" s="89" t="n">
        <f aca="false">IFERROR(__xludf.dummyfunction("""COMPUTED_VALUE"""),151700000)</f>
        <v>151700000</v>
      </c>
      <c r="G211" s="89" t="n">
        <f aca="false">IFERROR(__xludf.dummyfunction("""COMPUTED_VALUE"""),0)</f>
        <v>0</v>
      </c>
      <c r="H211" s="89" t="n">
        <f aca="false">IFERROR(__xludf.dummyfunction("""COMPUTED_VALUE"""),83700000)</f>
        <v>83700000</v>
      </c>
      <c r="I211" s="90" t="n">
        <f aca="false">IFERROR(__xludf.dummyfunction("""COMPUTED_VALUE"""),1)</f>
        <v>1</v>
      </c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</row>
    <row r="212" customFormat="false" ht="15.75" hidden="false" customHeight="true" outlineLevel="0" collapsed="false">
      <c r="A212" s="76"/>
      <c r="B212" s="76" t="str">
        <f aca="false">IFERROR(__xludf.dummyfunction("""COMPUTED_VALUE"""),"Gonçalo Alves")</f>
        <v>Gonçalo Alves</v>
      </c>
      <c r="C212" s="88" t="n">
        <f aca="false">IFERROR(__xludf.dummyfunction("""COMPUTED_VALUE"""),905)</f>
        <v>905</v>
      </c>
      <c r="D212" s="59" t="n">
        <f aca="false">IFERROR(__xludf.dummyfunction("""COMPUTED_VALUE"""),0.375692307692308)</f>
        <v>0.375692307692308</v>
      </c>
      <c r="E212" s="89" t="n">
        <f aca="false">IFERROR(__xludf.dummyfunction("""COMPUTED_VALUE"""),16560000000)</f>
        <v>16560000000</v>
      </c>
      <c r="F212" s="89" t="n">
        <f aca="false">IFERROR(__xludf.dummyfunction("""COMPUTED_VALUE"""),117000000)</f>
        <v>117000000</v>
      </c>
      <c r="G212" s="89" t="n">
        <f aca="false">IFERROR(__xludf.dummyfunction("""COMPUTED_VALUE"""),0)</f>
        <v>0</v>
      </c>
      <c r="H212" s="89" t="n">
        <f aca="false">IFERROR(__xludf.dummyfunction("""COMPUTED_VALUE"""),74200000)</f>
        <v>74200000</v>
      </c>
      <c r="I212" s="90" t="n">
        <f aca="false">IFERROR(__xludf.dummyfunction("""COMPUTED_VALUE"""),1)</f>
        <v>1</v>
      </c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</row>
    <row r="213" customFormat="false" ht="15.75" hidden="false" customHeight="true" outlineLevel="0" collapsed="false">
      <c r="A213" s="76"/>
      <c r="B213" s="76" t="str">
        <f aca="false">IFERROR(__xludf.dummyfunction("""COMPUTED_VALUE"""),"Jatobá")</f>
        <v>Jatobá</v>
      </c>
      <c r="C213" s="88" t="n">
        <f aca="false">IFERROR(__xludf.dummyfunction("""COMPUTED_VALUE"""),910)</f>
        <v>910</v>
      </c>
      <c r="D213" s="59" t="n">
        <f aca="false">IFERROR(__xludf.dummyfunction("""COMPUTED_VALUE"""),0.375692307692308)</f>
        <v>0.375692307692308</v>
      </c>
      <c r="E213" s="89" t="n">
        <f aca="false">IFERROR(__xludf.dummyfunction("""COMPUTED_VALUE"""),18930000000)</f>
        <v>18930000000</v>
      </c>
      <c r="F213" s="89" t="n">
        <f aca="false">IFERROR(__xludf.dummyfunction("""COMPUTED_VALUE"""),155200000)</f>
        <v>155200000</v>
      </c>
      <c r="G213" s="89" t="n">
        <f aca="false">IFERROR(__xludf.dummyfunction("""COMPUTED_VALUE"""),0)</f>
        <v>0</v>
      </c>
      <c r="H213" s="89" t="n">
        <f aca="false">IFERROR(__xludf.dummyfunction("""COMPUTED_VALUE"""),81200000)</f>
        <v>81200000</v>
      </c>
      <c r="I213" s="90" t="n">
        <f aca="false">IFERROR(__xludf.dummyfunction("""COMPUTED_VALUE"""),1)</f>
        <v>1</v>
      </c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</row>
    <row r="214" customFormat="false" ht="15.75" hidden="false" customHeight="true" outlineLevel="0" collapsed="false">
      <c r="A214" s="76"/>
      <c r="B214" s="76" t="str">
        <f aca="false">IFERROR(__xludf.dummyfunction("""COMPUTED_VALUE"""),"Ceylon Ebony")</f>
        <v>Ceylon Ebony</v>
      </c>
      <c r="C214" s="88" t="n">
        <f aca="false">IFERROR(__xludf.dummyfunction("""COMPUTED_VALUE"""),915)</f>
        <v>915</v>
      </c>
      <c r="D214" s="59" t="n">
        <f aca="false">IFERROR(__xludf.dummyfunction("""COMPUTED_VALUE"""),0.375692307692308)</f>
        <v>0.375692307692308</v>
      </c>
      <c r="E214" s="89" t="n">
        <f aca="false">IFERROR(__xludf.dummyfunction("""COMPUTED_VALUE"""),14070000000)</f>
        <v>14070000000</v>
      </c>
      <c r="F214" s="89" t="n">
        <f aca="false">IFERROR(__xludf.dummyfunction("""COMPUTED_VALUE"""),128600000)</f>
        <v>128600000</v>
      </c>
      <c r="G214" s="89" t="n">
        <f aca="false">IFERROR(__xludf.dummyfunction("""COMPUTED_VALUE"""),0)</f>
        <v>0</v>
      </c>
      <c r="H214" s="89" t="n">
        <f aca="false">IFERROR(__xludf.dummyfunction("""COMPUTED_VALUE"""),63500000)</f>
        <v>63500000</v>
      </c>
      <c r="I214" s="90" t="n">
        <f aca="false">IFERROR(__xludf.dummyfunction("""COMPUTED_VALUE"""),1)</f>
        <v>1</v>
      </c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</row>
    <row r="215" customFormat="false" ht="15.75" hidden="false" customHeight="true" outlineLevel="0" collapsed="false">
      <c r="A215" s="91"/>
      <c r="B215" s="91" t="str">
        <f aca="false">IFERROR(__xludf.dummyfunction("""COMPUTED_VALUE"""),"Santos Mahogany (not Mahogany)")</f>
        <v>Santos Mahogany (not Mahogany)</v>
      </c>
      <c r="C215" s="92" t="n">
        <f aca="false">IFERROR(__xludf.dummyfunction("""COMPUTED_VALUE"""),915)</f>
        <v>915</v>
      </c>
      <c r="D215" s="93" t="n">
        <f aca="false">IFERROR(__xludf.dummyfunction("""COMPUTED_VALUE"""),0.375692307692308)</f>
        <v>0.375692307692308</v>
      </c>
      <c r="E215" s="90" t="n">
        <f aca="false">IFERROR(__xludf.dummyfunction("""COMPUTED_VALUE"""),16410000000)</f>
        <v>16410000000</v>
      </c>
      <c r="F215" s="90" t="n">
        <f aca="false">IFERROR(__xludf.dummyfunction("""COMPUTED_VALUE"""),148700000)</f>
        <v>148700000</v>
      </c>
      <c r="G215" s="89" t="n">
        <f aca="false">IFERROR(__xludf.dummyfunction("""COMPUTED_VALUE"""),0)</f>
        <v>0</v>
      </c>
      <c r="H215" s="89" t="n">
        <f aca="false">IFERROR(__xludf.dummyfunction("""COMPUTED_VALUE"""),80600000)</f>
        <v>80600000</v>
      </c>
      <c r="I215" s="90" t="n">
        <f aca="false">IFERROR(__xludf.dummyfunction("""COMPUTED_VALUE"""),1)</f>
        <v>1</v>
      </c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</row>
    <row r="216" customFormat="false" ht="15.75" hidden="false" customHeight="true" outlineLevel="0" collapsed="false">
      <c r="A216" s="79"/>
      <c r="B216" s="79" t="str">
        <f aca="false">IFERROR(__xludf.dummyfunction("""COMPUTED_VALUE"""),"Bois de Rose (Rosewood)")</f>
        <v>Bois de Rose (Rosewood)</v>
      </c>
      <c r="C216" s="80" t="n">
        <f aca="false">IFERROR(__xludf.dummyfunction("""COMPUTED_VALUE"""),930)</f>
        <v>930</v>
      </c>
      <c r="D216" s="82" t="n">
        <f aca="false">IFERROR(__xludf.dummyfunction("""COMPUTED_VALUE"""),0.375692307692308)</f>
        <v>0.375692307692308</v>
      </c>
      <c r="E216" s="77"/>
      <c r="F216" s="77"/>
      <c r="G216" s="81" t="n">
        <f aca="false">IFERROR(__xludf.dummyfunction("""COMPUTED_VALUE"""),0)</f>
        <v>0</v>
      </c>
      <c r="H216" s="81"/>
      <c r="I216" s="77" t="n">
        <f aca="false">IFERROR(__xludf.dummyfunction("""COMPUTED_VALUE"""),1)</f>
        <v>1</v>
      </c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</row>
    <row r="217" customFormat="false" ht="15.75" hidden="false" customHeight="true" outlineLevel="0" collapsed="false">
      <c r="A217" s="79"/>
      <c r="B217" s="79" t="str">
        <f aca="false">IFERROR(__xludf.dummyfunction("""COMPUTED_VALUE"""),"Madagascar Rosewood")</f>
        <v>Madagascar Rosewood</v>
      </c>
      <c r="C217" s="80" t="n">
        <f aca="false">IFERROR(__xludf.dummyfunction("""COMPUTED_VALUE"""),935)</f>
        <v>935</v>
      </c>
      <c r="D217" s="82" t="n">
        <f aca="false">IFERROR(__xludf.dummyfunction("""COMPUTED_VALUE"""),0.375692307692308)</f>
        <v>0.375692307692308</v>
      </c>
      <c r="E217" s="77" t="n">
        <f aca="false">IFERROR(__xludf.dummyfunction("""COMPUTED_VALUE"""),12010000000)</f>
        <v>12010000000</v>
      </c>
      <c r="F217" s="77" t="n">
        <f aca="false">IFERROR(__xludf.dummyfunction("""COMPUTED_VALUE"""),165700000)</f>
        <v>165700000</v>
      </c>
      <c r="G217" s="81" t="n">
        <f aca="false">IFERROR(__xludf.dummyfunction("""COMPUTED_VALUE"""),0)</f>
        <v>0</v>
      </c>
      <c r="H217" s="81" t="n">
        <f aca="false">IFERROR(__xludf.dummyfunction("""COMPUTED_VALUE"""),76600000)</f>
        <v>76600000</v>
      </c>
      <c r="I217" s="77" t="n">
        <f aca="false">IFERROR(__xludf.dummyfunction("""COMPUTED_VALUE"""),1)</f>
        <v>1</v>
      </c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</row>
    <row r="218" customFormat="false" ht="15.75" hidden="false" customHeight="true" outlineLevel="0" collapsed="false">
      <c r="A218" s="79"/>
      <c r="B218" s="79" t="str">
        <f aca="false">IFERROR(__xludf.dummyfunction("""COMPUTED_VALUE"""),"Burmese Rosewood")</f>
        <v>Burmese Rosewood</v>
      </c>
      <c r="C218" s="80" t="n">
        <f aca="false">IFERROR(__xludf.dummyfunction("""COMPUTED_VALUE"""),940)</f>
        <v>940</v>
      </c>
      <c r="D218" s="82" t="n">
        <f aca="false">IFERROR(__xludf.dummyfunction("""COMPUTED_VALUE"""),0.375692307692308)</f>
        <v>0.375692307692308</v>
      </c>
      <c r="E218" s="77" t="n">
        <f aca="false">IFERROR(__xludf.dummyfunction("""COMPUTED_VALUE"""),12010000000)</f>
        <v>12010000000</v>
      </c>
      <c r="F218" s="77" t="n">
        <f aca="false">IFERROR(__xludf.dummyfunction("""COMPUTED_VALUE"""),165700000)</f>
        <v>165700000</v>
      </c>
      <c r="G218" s="81" t="n">
        <f aca="false">IFERROR(__xludf.dummyfunction("""COMPUTED_VALUE"""),0)</f>
        <v>0</v>
      </c>
      <c r="H218" s="81" t="n">
        <f aca="false">IFERROR(__xludf.dummyfunction("""COMPUTED_VALUE"""),76600000)</f>
        <v>76600000</v>
      </c>
      <c r="I218" s="77" t="n">
        <f aca="false">IFERROR(__xludf.dummyfunction("""COMPUTED_VALUE"""),1)</f>
        <v>1</v>
      </c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</row>
    <row r="219" customFormat="false" ht="15.75" hidden="false" customHeight="true" outlineLevel="0" collapsed="false">
      <c r="A219" s="79"/>
      <c r="B219" s="79" t="str">
        <f aca="false">IFERROR(__xludf.dummyfunction("""COMPUTED_VALUE"""),"Macacauba (Hormigo, Granadillo)")</f>
        <v>Macacauba (Hormigo, Granadillo)</v>
      </c>
      <c r="C219" s="80" t="n">
        <f aca="false">IFERROR(__xludf.dummyfunction("""COMPUTED_VALUE"""),950)</f>
        <v>950</v>
      </c>
      <c r="D219" s="82" t="n">
        <f aca="false">IFERROR(__xludf.dummyfunction("""COMPUTED_VALUE"""),0.375692307692308)</f>
        <v>0.375692307692308</v>
      </c>
      <c r="E219" s="77" t="n">
        <f aca="false">IFERROR(__xludf.dummyfunction("""COMPUTED_VALUE"""),19560000000)</f>
        <v>19560000000</v>
      </c>
      <c r="F219" s="77" t="n">
        <f aca="false">IFERROR(__xludf.dummyfunction("""COMPUTED_VALUE"""),148600000)</f>
        <v>148600000</v>
      </c>
      <c r="G219" s="81" t="n">
        <f aca="false">IFERROR(__xludf.dummyfunction("""COMPUTED_VALUE"""),0)</f>
        <v>0</v>
      </c>
      <c r="H219" s="81" t="n">
        <f aca="false">IFERROR(__xludf.dummyfunction("""COMPUTED_VALUE"""),80700000)</f>
        <v>80700000</v>
      </c>
      <c r="I219" s="77" t="n">
        <f aca="false">IFERROR(__xludf.dummyfunction("""COMPUTED_VALUE"""),1)</f>
        <v>1</v>
      </c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</row>
    <row r="220" customFormat="false" ht="15.75" hidden="false" customHeight="true" outlineLevel="0" collapsed="false">
      <c r="A220" s="79"/>
      <c r="B220" s="79" t="str">
        <f aca="false">IFERROR(__xludf.dummyfunction("""COMPUTED_VALUE"""),"Gaboon Ebony")</f>
        <v>Gaboon Ebony</v>
      </c>
      <c r="C220" s="80" t="n">
        <f aca="false">IFERROR(__xludf.dummyfunction("""COMPUTED_VALUE"""),955)</f>
        <v>955</v>
      </c>
      <c r="D220" s="82" t="n">
        <f aca="false">IFERROR(__xludf.dummyfunction("""COMPUTED_VALUE"""),0.375692307692308)</f>
        <v>0.375692307692308</v>
      </c>
      <c r="E220" s="77" t="n">
        <f aca="false">IFERROR(__xludf.dummyfunction("""COMPUTED_VALUE"""),16890000000)</f>
        <v>16890000000</v>
      </c>
      <c r="F220" s="77" t="n">
        <f aca="false">IFERROR(__xludf.dummyfunction("""COMPUTED_VALUE"""),158100000)</f>
        <v>158100000</v>
      </c>
      <c r="G220" s="81" t="n">
        <f aca="false">IFERROR(__xludf.dummyfunction("""COMPUTED_VALUE"""),0)</f>
        <v>0</v>
      </c>
      <c r="H220" s="81" t="n">
        <f aca="false">IFERROR(__xludf.dummyfunction("""COMPUTED_VALUE"""),76300000)</f>
        <v>76300000</v>
      </c>
      <c r="I220" s="77" t="n">
        <f aca="false">IFERROR(__xludf.dummyfunction("""COMPUTED_VALUE"""),1)</f>
        <v>1</v>
      </c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</row>
    <row r="221" customFormat="false" ht="15.75" hidden="false" customHeight="true" outlineLevel="0" collapsed="false">
      <c r="A221" s="76"/>
      <c r="B221" s="76" t="str">
        <f aca="false">IFERROR(__xludf.dummyfunction("""COMPUTED_VALUE"""),"Texas Ebony (not Ebony)")</f>
        <v>Texas Ebony (not Ebony)</v>
      </c>
      <c r="C221" s="88" t="n">
        <f aca="false">IFERROR(__xludf.dummyfunction("""COMPUTED_VALUE"""),965)</f>
        <v>965</v>
      </c>
      <c r="D221" s="59" t="n">
        <f aca="false">IFERROR(__xludf.dummyfunction("""COMPUTED_VALUE"""),0.375692307692308)</f>
        <v>0.375692307692308</v>
      </c>
      <c r="E221" s="89" t="n">
        <f aca="false">IFERROR(__xludf.dummyfunction("""COMPUTED_VALUE"""),16540000000)</f>
        <v>16540000000</v>
      </c>
      <c r="F221" s="89" t="n">
        <f aca="false">IFERROR(__xludf.dummyfunction("""COMPUTED_VALUE"""),152300000)</f>
        <v>152300000</v>
      </c>
      <c r="G221" s="89" t="n">
        <f aca="false">IFERROR(__xludf.dummyfunction("""COMPUTED_VALUE"""),0)</f>
        <v>0</v>
      </c>
      <c r="H221" s="89" t="n">
        <f aca="false">IFERROR(__xludf.dummyfunction("""COMPUTED_VALUE"""),74100000)</f>
        <v>74100000</v>
      </c>
      <c r="I221" s="90" t="n">
        <f aca="false">IFERROR(__xludf.dummyfunction("""COMPUTED_VALUE"""),1)</f>
        <v>1</v>
      </c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</row>
    <row r="222" customFormat="false" ht="15.75" hidden="false" customHeight="true" outlineLevel="0" collapsed="false">
      <c r="A222" s="76"/>
      <c r="B222" s="76" t="str">
        <f aca="false">IFERROR(__xludf.dummyfunction("""COMPUTED_VALUE"""),"Boxwood")</f>
        <v>Boxwood</v>
      </c>
      <c r="C222" s="88" t="n">
        <f aca="false">IFERROR(__xludf.dummyfunction("""COMPUTED_VALUE"""),965)</f>
        <v>965</v>
      </c>
      <c r="D222" s="59" t="n">
        <f aca="false">IFERROR(__xludf.dummyfunction("""COMPUTED_VALUE"""),0.375692307692308)</f>
        <v>0.375692307692308</v>
      </c>
      <c r="E222" s="89" t="n">
        <f aca="false">IFERROR(__xludf.dummyfunction("""COMPUTED_VALUE"""),12270000000)</f>
        <v>12270000000</v>
      </c>
      <c r="F222" s="89" t="n">
        <f aca="false">IFERROR(__xludf.dummyfunction("""COMPUTED_VALUE"""),136500000)</f>
        <v>136500000</v>
      </c>
      <c r="G222" s="89" t="n">
        <f aca="false">IFERROR(__xludf.dummyfunction("""COMPUTED_VALUE"""),0)</f>
        <v>0</v>
      </c>
      <c r="H222" s="89" t="n">
        <f aca="false">IFERROR(__xludf.dummyfunction("""COMPUTED_VALUE"""),71300000)</f>
        <v>71300000</v>
      </c>
      <c r="I222" s="90" t="n">
        <f aca="false">IFERROR(__xludf.dummyfunction("""COMPUTED_VALUE"""),1)</f>
        <v>1</v>
      </c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</row>
    <row r="223" customFormat="false" ht="15.75" hidden="false" customHeight="true" outlineLevel="0" collapsed="false">
      <c r="A223" s="76"/>
      <c r="B223" s="76" t="str">
        <f aca="false">IFERROR(__xludf.dummyfunction("""COMPUTED_VALUE"""),"Brazilian Tulipwood (rosewood)")</f>
        <v>Brazilian Tulipwood (rosewood)</v>
      </c>
      <c r="C223" s="88" t="n">
        <f aca="false">IFERROR(__xludf.dummyfunction("""COMPUTED_VALUE"""),970)</f>
        <v>970</v>
      </c>
      <c r="D223" s="59"/>
      <c r="E223" s="89"/>
      <c r="F223" s="89"/>
      <c r="G223" s="89" t="n">
        <f aca="false">IFERROR(__xludf.dummyfunction("""COMPUTED_VALUE"""),0)</f>
        <v>0</v>
      </c>
      <c r="H223" s="89"/>
      <c r="I223" s="90" t="n">
        <f aca="false">IFERROR(__xludf.dummyfunction("""COMPUTED_VALUE"""),1)</f>
        <v>1</v>
      </c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</row>
    <row r="224" customFormat="false" ht="15.75" hidden="false" customHeight="true" outlineLevel="0" collapsed="false">
      <c r="A224" s="76"/>
      <c r="B224" s="76" t="str">
        <f aca="false">IFERROR(__xludf.dummyfunction("""COMPUTED_VALUE"""),"East Indian Satinwood")</f>
        <v>East Indian Satinwood</v>
      </c>
      <c r="C224" s="88" t="n">
        <f aca="false">IFERROR(__xludf.dummyfunction("""COMPUTED_VALUE"""),975)</f>
        <v>975</v>
      </c>
      <c r="D224" s="59" t="n">
        <f aca="false">IFERROR(__xludf.dummyfunction("""COMPUTED_VALUE"""),0.375692307692308)</f>
        <v>0.375692307692308</v>
      </c>
      <c r="E224" s="89" t="n">
        <f aca="false">IFERROR(__xludf.dummyfunction("""COMPUTED_VALUE"""),14560000000)</f>
        <v>14560000000</v>
      </c>
      <c r="F224" s="89" t="n">
        <f aca="false">IFERROR(__xludf.dummyfunction("""COMPUTED_VALUE"""),145400000)</f>
        <v>145400000</v>
      </c>
      <c r="G224" s="89" t="n">
        <f aca="false">IFERROR(__xludf.dummyfunction("""COMPUTED_VALUE"""),0)</f>
        <v>0</v>
      </c>
      <c r="H224" s="89" t="n">
        <f aca="false">IFERROR(__xludf.dummyfunction("""COMPUTED_VALUE"""),71800000)</f>
        <v>71800000</v>
      </c>
      <c r="I224" s="90" t="n">
        <f aca="false">IFERROR(__xludf.dummyfunction("""COMPUTED_VALUE"""),1)</f>
        <v>1</v>
      </c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</row>
    <row r="225" customFormat="false" ht="15" hidden="false" customHeight="true" outlineLevel="0" collapsed="false">
      <c r="A225" s="76"/>
      <c r="B225" s="76" t="str">
        <f aca="false">IFERROR(__xludf.dummyfunction("""COMPUTED_VALUE"""),"Live Oak")</f>
        <v>Live Oak</v>
      </c>
      <c r="C225" s="88" t="n">
        <f aca="false">IFERROR(__xludf.dummyfunction("""COMPUTED_VALUE"""),1000)</f>
        <v>1000</v>
      </c>
      <c r="D225" s="59" t="n">
        <f aca="false">IFERROR(__xludf.dummyfunction("""COMPUTED_VALUE"""),0.375692307692308)</f>
        <v>0.375692307692308</v>
      </c>
      <c r="E225" s="89" t="n">
        <f aca="false">IFERROR(__xludf.dummyfunction("""COMPUTED_VALUE"""),13520000000)</f>
        <v>13520000000</v>
      </c>
      <c r="F225" s="89" t="n">
        <f aca="false">IFERROR(__xludf.dummyfunction("""COMPUTED_VALUE"""),125600000)</f>
        <v>125600000</v>
      </c>
      <c r="G225" s="89" t="n">
        <f aca="false">IFERROR(__xludf.dummyfunction("""COMPUTED_VALUE"""),0)</f>
        <v>0</v>
      </c>
      <c r="H225" s="89" t="n">
        <f aca="false">IFERROR(__xludf.dummyfunction("""COMPUTED_VALUE"""),60800000)</f>
        <v>60800000</v>
      </c>
      <c r="I225" s="90" t="n">
        <f aca="false">IFERROR(__xludf.dummyfunction("""COMPUTED_VALUE"""),1)</f>
        <v>1</v>
      </c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</row>
    <row r="226" customFormat="false" ht="15.75" hidden="false" customHeight="true" outlineLevel="0" collapsed="false">
      <c r="A226" s="76"/>
      <c r="B226" s="76" t="str">
        <f aca="false">IFERROR(__xludf.dummyfunction("""COMPUTED_VALUE"""),"Greenheart")</f>
        <v>Greenheart</v>
      </c>
      <c r="C226" s="88" t="n">
        <f aca="false">IFERROR(__xludf.dummyfunction("""COMPUTED_VALUE"""),1010)</f>
        <v>1010</v>
      </c>
      <c r="D226" s="59" t="n">
        <f aca="false">IFERROR(__xludf.dummyfunction("""COMPUTED_VALUE"""),0.375692307692308)</f>
        <v>0.375692307692308</v>
      </c>
      <c r="E226" s="89" t="n">
        <f aca="false">IFERROR(__xludf.dummyfunction("""COMPUTED_VALUE"""),24640000000)</f>
        <v>24640000000</v>
      </c>
      <c r="F226" s="89" t="n">
        <f aca="false">IFERROR(__xludf.dummyfunction("""COMPUTED_VALUE"""),185500000)</f>
        <v>185500000</v>
      </c>
      <c r="G226" s="89" t="n">
        <f aca="false">IFERROR(__xludf.dummyfunction("""COMPUTED_VALUE"""),0)</f>
        <v>0</v>
      </c>
      <c r="H226" s="89" t="n">
        <f aca="false">IFERROR(__xludf.dummyfunction("""COMPUTED_VALUE"""),91700000)</f>
        <v>91700000</v>
      </c>
      <c r="I226" s="90" t="n">
        <f aca="false">IFERROR(__xludf.dummyfunction("""COMPUTED_VALUE"""),1)</f>
        <v>1</v>
      </c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</row>
    <row r="227" customFormat="false" ht="15.75" hidden="false" customHeight="true" outlineLevel="0" collapsed="false">
      <c r="A227" s="76"/>
      <c r="B227" s="76" t="str">
        <f aca="false">IFERROR(__xludf.dummyfunction("""COMPUTED_VALUE"""),"Mora (Nato)")</f>
        <v>Mora (Nato)</v>
      </c>
      <c r="C227" s="88" t="n">
        <f aca="false">IFERROR(__xludf.dummyfunction("""COMPUTED_VALUE"""),1015)</f>
        <v>1015</v>
      </c>
      <c r="D227" s="59" t="n">
        <f aca="false">IFERROR(__xludf.dummyfunction("""COMPUTED_VALUE"""),0.375692307692308)</f>
        <v>0.375692307692308</v>
      </c>
      <c r="E227" s="89" t="n">
        <f aca="false">IFERROR(__xludf.dummyfunction("""COMPUTED_VALUE"""),19240000000)</f>
        <v>19240000000</v>
      </c>
      <c r="F227" s="89" t="n">
        <f aca="false">IFERROR(__xludf.dummyfunction("""COMPUTED_VALUE"""),155500000)</f>
        <v>155500000</v>
      </c>
      <c r="G227" s="89" t="n">
        <f aca="false">IFERROR(__xludf.dummyfunction("""COMPUTED_VALUE"""),0)</f>
        <v>0</v>
      </c>
      <c r="H227" s="89" t="n">
        <f aca="false">IFERROR(__xludf.dummyfunction("""COMPUTED_VALUE"""),82400000)</f>
        <v>82400000</v>
      </c>
      <c r="I227" s="90" t="n">
        <f aca="false">IFERROR(__xludf.dummyfunction("""COMPUTED_VALUE"""),1)</f>
        <v>1</v>
      </c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</row>
    <row r="228" customFormat="false" ht="15.75" hidden="false" customHeight="true" outlineLevel="0" collapsed="false">
      <c r="B228" s="60" t="str">
        <f aca="false">IFERROR(__xludf.dummyfunction("""COMPUTED_VALUE"""),"Honduran Rosewood")</f>
        <v>Honduran Rosewood</v>
      </c>
      <c r="C228" s="88" t="n">
        <f aca="false">IFERROR(__xludf.dummyfunction("""COMPUTED_VALUE"""),1025)</f>
        <v>1025</v>
      </c>
      <c r="D228" s="59" t="n">
        <f aca="false">IFERROR(__xludf.dummyfunction("""COMPUTED_VALUE"""),0.375692307692308)</f>
        <v>0.375692307692308</v>
      </c>
      <c r="E228" s="89" t="n">
        <f aca="false">IFERROR(__xludf.dummyfunction("""COMPUTED_VALUE"""),22000000000)</f>
        <v>22000000000</v>
      </c>
      <c r="F228" s="89"/>
      <c r="G228" s="89" t="n">
        <f aca="false">IFERROR(__xludf.dummyfunction("""COMPUTED_VALUE"""),0)</f>
        <v>0</v>
      </c>
      <c r="H228" s="89"/>
      <c r="I228" s="90" t="n">
        <f aca="false">IFERROR(__xludf.dummyfunction("""COMPUTED_VALUE"""),1)</f>
        <v>1</v>
      </c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</row>
    <row r="229" customFormat="false" ht="15.75" hidden="false" customHeight="true" outlineLevel="0" collapsed="false">
      <c r="A229" s="76"/>
      <c r="B229" s="76" t="str">
        <f aca="false">IFERROR(__xludf.dummyfunction("""COMPUTED_VALUE"""),"Curupay")</f>
        <v>Curupay</v>
      </c>
      <c r="C229" s="88" t="n">
        <f aca="false">IFERROR(__xludf.dummyfunction("""COMPUTED_VALUE"""),1025)</f>
        <v>1025</v>
      </c>
      <c r="D229" s="59" t="n">
        <f aca="false">IFERROR(__xludf.dummyfunction("""COMPUTED_VALUE"""),0.375692307692308)</f>
        <v>0.375692307692308</v>
      </c>
      <c r="E229" s="89" t="n">
        <f aca="false">IFERROR(__xludf.dummyfunction("""COMPUTED_VALUE"""),18040000000)</f>
        <v>18040000000</v>
      </c>
      <c r="F229" s="89" t="n">
        <f aca="false">IFERROR(__xludf.dummyfunction("""COMPUTED_VALUE"""),193200000)</f>
        <v>193200000</v>
      </c>
      <c r="G229" s="89" t="n">
        <f aca="false">IFERROR(__xludf.dummyfunction("""COMPUTED_VALUE"""),0)</f>
        <v>0</v>
      </c>
      <c r="H229" s="89" t="n">
        <f aca="false">IFERROR(__xludf.dummyfunction("""COMPUTED_VALUE"""),94400000)</f>
        <v>94400000</v>
      </c>
      <c r="I229" s="90" t="n">
        <f aca="false">IFERROR(__xludf.dummyfunction("""COMPUTED_VALUE"""),1)</f>
        <v>1</v>
      </c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  <c r="AJ229" s="89"/>
      <c r="AK229" s="89"/>
    </row>
    <row r="230" customFormat="false" ht="15.75" hidden="false" customHeight="true" outlineLevel="0" collapsed="false">
      <c r="A230" s="76"/>
      <c r="B230" s="76" t="str">
        <f aca="false">IFERROR(__xludf.dummyfunction("""COMPUTED_VALUE"""),"Pau Rosa")</f>
        <v>Pau Rosa</v>
      </c>
      <c r="C230" s="88" t="n">
        <f aca="false">IFERROR(__xludf.dummyfunction("""COMPUTED_VALUE"""),1030)</f>
        <v>1030</v>
      </c>
      <c r="D230" s="59" t="n">
        <f aca="false">IFERROR(__xludf.dummyfunction("""COMPUTED_VALUE"""),0.375692307692308)</f>
        <v>0.375692307692308</v>
      </c>
      <c r="E230" s="89" t="n">
        <f aca="false">IFERROR(__xludf.dummyfunction("""COMPUTED_VALUE"""),17100000000)</f>
        <v>17100000000</v>
      </c>
      <c r="F230" s="89" t="n">
        <f aca="false">IFERROR(__xludf.dummyfunction("""COMPUTED_VALUE"""),166200000)</f>
        <v>166200000</v>
      </c>
      <c r="G230" s="89" t="n">
        <f aca="false">IFERROR(__xludf.dummyfunction("""COMPUTED_VALUE"""),0)</f>
        <v>0</v>
      </c>
      <c r="H230" s="89" t="n">
        <f aca="false">IFERROR(__xludf.dummyfunction("""COMPUTED_VALUE"""),92800000)</f>
        <v>92800000</v>
      </c>
      <c r="I230" s="90" t="n">
        <f aca="false">IFERROR(__xludf.dummyfunction("""COMPUTED_VALUE"""),1)</f>
        <v>1</v>
      </c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  <c r="AJ230" s="89"/>
      <c r="AK230" s="89"/>
    </row>
    <row r="231" customFormat="false" ht="15.75" hidden="false" customHeight="true" outlineLevel="0" collapsed="false">
      <c r="A231" s="76"/>
      <c r="B231" s="76" t="str">
        <f aca="false">IFERROR(__xludf.dummyfunction("""COMPUTED_VALUE"""),"Siamese Rosewood")</f>
        <v>Siamese Rosewood</v>
      </c>
      <c r="C231" s="88" t="n">
        <f aca="false">IFERROR(__xludf.dummyfunction("""COMPUTED_VALUE"""),1035)</f>
        <v>1035</v>
      </c>
      <c r="D231" s="59" t="n">
        <f aca="false">IFERROR(__xludf.dummyfunction("""COMPUTED_VALUE"""),0.375692307692308)</f>
        <v>0.375692307692308</v>
      </c>
      <c r="E231" s="89" t="n">
        <f aca="false">IFERROR(__xludf.dummyfunction("""COMPUTED_VALUE"""),16380000000)</f>
        <v>16380000000</v>
      </c>
      <c r="F231" s="89" t="n">
        <f aca="false">IFERROR(__xludf.dummyfunction("""COMPUTED_VALUE"""),171000000)</f>
        <v>171000000</v>
      </c>
      <c r="G231" s="89" t="n">
        <f aca="false">IFERROR(__xludf.dummyfunction("""COMPUTED_VALUE"""),0)</f>
        <v>0</v>
      </c>
      <c r="H231" s="89" t="n">
        <f aca="false">IFERROR(__xludf.dummyfunction("""COMPUTED_VALUE"""),117000000)</f>
        <v>117000000</v>
      </c>
      <c r="I231" s="90" t="n">
        <f aca="false">IFERROR(__xludf.dummyfunction("""COMPUTED_VALUE"""),1)</f>
        <v>1</v>
      </c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89"/>
    </row>
    <row r="232" customFormat="false" ht="15.75" hidden="false" customHeight="true" outlineLevel="0" collapsed="false">
      <c r="A232" s="76"/>
      <c r="B232" s="76" t="str">
        <f aca="false">IFERROR(__xludf.dummyfunction("""COMPUTED_VALUE"""),"Brazilwood (Pernambuco)")</f>
        <v>Brazilwood (Pernambuco)</v>
      </c>
      <c r="C232" s="88" t="n">
        <f aca="false">IFERROR(__xludf.dummyfunction("""COMPUTED_VALUE"""),1050)</f>
        <v>1050</v>
      </c>
      <c r="D232" s="59" t="n">
        <f aca="false">IFERROR(__xludf.dummyfunction("""COMPUTED_VALUE"""),0.375692307692308)</f>
        <v>0.375692307692308</v>
      </c>
      <c r="E232" s="89" t="n">
        <f aca="false">IFERROR(__xludf.dummyfunction("""COMPUTED_VALUE"""),20200000000)</f>
        <v>20200000000</v>
      </c>
      <c r="F232" s="89" t="n">
        <f aca="false">IFERROR(__xludf.dummyfunction("""COMPUTED_VALUE"""),176100000)</f>
        <v>176100000</v>
      </c>
      <c r="G232" s="89" t="n">
        <f aca="false">IFERROR(__xludf.dummyfunction("""COMPUTED_VALUE"""),0)</f>
        <v>0</v>
      </c>
      <c r="H232" s="89" t="n">
        <f aca="false">IFERROR(__xludf.dummyfunction("""COMPUTED_VALUE"""),74000000)</f>
        <v>74000000</v>
      </c>
      <c r="I232" s="90" t="n">
        <f aca="false">IFERROR(__xludf.dummyfunction("""COMPUTED_VALUE"""),1)</f>
        <v>1</v>
      </c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  <c r="AJ232" s="89"/>
      <c r="AK232" s="89"/>
    </row>
    <row r="233" customFormat="false" ht="15.75" hidden="false" customHeight="true" outlineLevel="0" collapsed="false">
      <c r="A233" s="76"/>
      <c r="B233" s="76" t="str">
        <f aca="false">IFERROR(__xludf.dummyfunction("""COMPUTED_VALUE"""),"Bloodwood")</f>
        <v>Bloodwood</v>
      </c>
      <c r="C233" s="88" t="n">
        <f aca="false">IFERROR(__xludf.dummyfunction("""COMPUTED_VALUE"""),1050)</f>
        <v>1050</v>
      </c>
      <c r="D233" s="59" t="n">
        <f aca="false">IFERROR(__xludf.dummyfunction("""COMPUTED_VALUE"""),0.375692307692308)</f>
        <v>0.375692307692308</v>
      </c>
      <c r="E233" s="89" t="n">
        <f aca="false">IFERROR(__xludf.dummyfunction("""COMPUTED_VALUE"""),20780000000)</f>
        <v>20780000000</v>
      </c>
      <c r="F233" s="89" t="n">
        <f aca="false">IFERROR(__xludf.dummyfunction("""COMPUTED_VALUE"""),174400000)</f>
        <v>174400000</v>
      </c>
      <c r="G233" s="89" t="n">
        <f aca="false">IFERROR(__xludf.dummyfunction("""COMPUTED_VALUE"""),0)</f>
        <v>0</v>
      </c>
      <c r="H233" s="89" t="n">
        <f aca="false">IFERROR(__xludf.dummyfunction("""COMPUTED_VALUE"""),98700000)</f>
        <v>98700000</v>
      </c>
      <c r="I233" s="90" t="n">
        <f aca="false">IFERROR(__xludf.dummyfunction("""COMPUTED_VALUE"""),1)</f>
        <v>1</v>
      </c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89"/>
      <c r="AK233" s="89"/>
    </row>
    <row r="234" customFormat="false" ht="15.75" hidden="false" customHeight="true" outlineLevel="0" collapsed="false">
      <c r="A234" s="76"/>
      <c r="B234" s="76" t="str">
        <f aca="false">IFERROR(__xludf.dummyfunction("""COMPUTED_VALUE"""),"Mopane")</f>
        <v>Mopane</v>
      </c>
      <c r="C234" s="88" t="n">
        <f aca="false">IFERROR(__xludf.dummyfunction("""COMPUTED_VALUE"""),1075)</f>
        <v>1075</v>
      </c>
      <c r="D234" s="59" t="n">
        <f aca="false">IFERROR(__xludf.dummyfunction("""COMPUTED_VALUE"""),0.375692307692308)</f>
        <v>0.375692307692308</v>
      </c>
      <c r="E234" s="89" t="n">
        <f aca="false">IFERROR(__xludf.dummyfunction("""COMPUTED_VALUE"""),13220000000)</f>
        <v>13220000000</v>
      </c>
      <c r="F234" s="89" t="n">
        <f aca="false">IFERROR(__xludf.dummyfunction("""COMPUTED_VALUE"""),114000000)</f>
        <v>114000000</v>
      </c>
      <c r="G234" s="89" t="n">
        <f aca="false">IFERROR(__xludf.dummyfunction("""COMPUTED_VALUE"""),0)</f>
        <v>0</v>
      </c>
      <c r="H234" s="89" t="n">
        <f aca="false">IFERROR(__xludf.dummyfunction("""COMPUTED_VALUE"""),70300000)</f>
        <v>70300000</v>
      </c>
      <c r="I234" s="90" t="n">
        <f aca="false">IFERROR(__xludf.dummyfunction("""COMPUTED_VALUE"""),1)</f>
        <v>1</v>
      </c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</row>
    <row r="235" customFormat="false" ht="15.75" hidden="false" customHeight="true" outlineLevel="0" collapsed="false">
      <c r="A235" s="76"/>
      <c r="B235" s="76" t="str">
        <f aca="false">IFERROR(__xludf.dummyfunction("""COMPUTED_VALUE"""),"Bulletwood")</f>
        <v>Bulletwood</v>
      </c>
      <c r="C235" s="88" t="n">
        <f aca="false">IFERROR(__xludf.dummyfunction("""COMPUTED_VALUE"""),1080)</f>
        <v>1080</v>
      </c>
      <c r="D235" s="59" t="n">
        <f aca="false">IFERROR(__xludf.dummyfunction("""COMPUTED_VALUE"""),0.375692307692308)</f>
        <v>0.375692307692308</v>
      </c>
      <c r="E235" s="89" t="n">
        <f aca="false">IFERROR(__xludf.dummyfunction("""COMPUTED_VALUE"""),23060000000)</f>
        <v>23060000000</v>
      </c>
      <c r="F235" s="89" t="n">
        <f aca="false">IFERROR(__xludf.dummyfunction("""COMPUTED_VALUE"""),192200000)</f>
        <v>192200000</v>
      </c>
      <c r="G235" s="89" t="n">
        <f aca="false">IFERROR(__xludf.dummyfunction("""COMPUTED_VALUE"""),0)</f>
        <v>0</v>
      </c>
      <c r="H235" s="89" t="n">
        <f aca="false">IFERROR(__xludf.dummyfunction("""COMPUTED_VALUE"""),89200000)</f>
        <v>89200000</v>
      </c>
      <c r="I235" s="90" t="n">
        <f aca="false">IFERROR(__xludf.dummyfunction("""COMPUTED_VALUE"""),1)</f>
        <v>1</v>
      </c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</row>
    <row r="236" customFormat="false" ht="15.75" hidden="false" customHeight="true" outlineLevel="0" collapsed="false">
      <c r="A236" s="76"/>
      <c r="B236" s="76" t="str">
        <f aca="false">IFERROR(__xludf.dummyfunction("""COMPUTED_VALUE"""),"Wamara")</f>
        <v>Wamara</v>
      </c>
      <c r="C236" s="88" t="n">
        <f aca="false">IFERROR(__xludf.dummyfunction("""COMPUTED_VALUE"""),1080)</f>
        <v>1080</v>
      </c>
      <c r="D236" s="59" t="n">
        <f aca="false">IFERROR(__xludf.dummyfunction("""COMPUTED_VALUE"""),0.375692307692308)</f>
        <v>0.375692307692308</v>
      </c>
      <c r="E236" s="89" t="n">
        <f aca="false">IFERROR(__xludf.dummyfunction("""COMPUTED_VALUE"""),24380000000)</f>
        <v>24380000000</v>
      </c>
      <c r="F236" s="89" t="n">
        <f aca="false">IFERROR(__xludf.dummyfunction("""COMPUTED_VALUE"""),196500000)</f>
        <v>196500000</v>
      </c>
      <c r="G236" s="89" t="n">
        <f aca="false">IFERROR(__xludf.dummyfunction("""COMPUTED_VALUE"""),0)</f>
        <v>0</v>
      </c>
      <c r="H236" s="89" t="n">
        <f aca="false">IFERROR(__xludf.dummyfunction("""COMPUTED_VALUE"""),105300000)</f>
        <v>105300000</v>
      </c>
      <c r="I236" s="90" t="n">
        <f aca="false">IFERROR(__xludf.dummyfunction("""COMPUTED_VALUE"""),1)</f>
        <v>1</v>
      </c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</row>
    <row r="237" customFormat="false" ht="15.75" hidden="false" customHeight="true" outlineLevel="0" collapsed="false">
      <c r="A237" s="76"/>
      <c r="B237" s="76" t="str">
        <f aca="false">IFERROR(__xludf.dummyfunction("""COMPUTED_VALUE"""),"Amazon Rosewood")</f>
        <v>Amazon Rosewood</v>
      </c>
      <c r="C237" s="88" t="n">
        <f aca="false">IFERROR(__xludf.dummyfunction("""COMPUTED_VALUE"""),1085)</f>
        <v>1085</v>
      </c>
      <c r="D237" s="59" t="n">
        <f aca="false">IFERROR(__xludf.dummyfunction("""COMPUTED_VALUE"""),0.375692307692308)</f>
        <v>0.375692307692308</v>
      </c>
      <c r="E237" s="89" t="n">
        <f aca="false">IFERROR(__xludf.dummyfunction("""COMPUTED_VALUE"""),12900000000)</f>
        <v>12900000000</v>
      </c>
      <c r="F237" s="89" t="n">
        <f aca="false">IFERROR(__xludf.dummyfunction("""COMPUTED_VALUE"""),116900000)</f>
        <v>116900000</v>
      </c>
      <c r="G237" s="89" t="n">
        <f aca="false">IFERROR(__xludf.dummyfunction("""COMPUTED_VALUE"""),0)</f>
        <v>0</v>
      </c>
      <c r="H237" s="89" t="n">
        <f aca="false">IFERROR(__xludf.dummyfunction("""COMPUTED_VALUE"""),58000000)</f>
        <v>58000000</v>
      </c>
      <c r="I237" s="90" t="n">
        <f aca="false">IFERROR(__xludf.dummyfunction("""COMPUTED_VALUE"""),1)</f>
        <v>1</v>
      </c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</row>
    <row r="238" customFormat="false" ht="15.75" hidden="false" customHeight="true" outlineLevel="0" collapsed="false">
      <c r="A238" s="76"/>
      <c r="B238" s="76" t="str">
        <f aca="false">IFERROR(__xludf.dummyfunction("""COMPUTED_VALUE"""),"Cumaru")</f>
        <v>Cumaru</v>
      </c>
      <c r="C238" s="88" t="n">
        <f aca="false">IFERROR(__xludf.dummyfunction("""COMPUTED_VALUE"""),1085)</f>
        <v>1085</v>
      </c>
      <c r="D238" s="59" t="n">
        <f aca="false">IFERROR(__xludf.dummyfunction("""COMPUTED_VALUE"""),0.375692307692308)</f>
        <v>0.375692307692308</v>
      </c>
      <c r="E238" s="89" t="n">
        <f aca="false">IFERROR(__xludf.dummyfunction("""COMPUTED_VALUE"""),22330000000)</f>
        <v>22330000000</v>
      </c>
      <c r="F238" s="89" t="n">
        <f aca="false">IFERROR(__xludf.dummyfunction("""COMPUTED_VALUE"""),175100000)</f>
        <v>175100000</v>
      </c>
      <c r="G238" s="89" t="n">
        <f aca="false">IFERROR(__xludf.dummyfunction("""COMPUTED_VALUE"""),0)</f>
        <v>0</v>
      </c>
      <c r="H238" s="89" t="n">
        <f aca="false">IFERROR(__xludf.dummyfunction("""COMPUTED_VALUE"""),95500000)</f>
        <v>95500000</v>
      </c>
      <c r="I238" s="90" t="n">
        <f aca="false">IFERROR(__xludf.dummyfunction("""COMPUTED_VALUE"""),1)</f>
        <v>1</v>
      </c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</row>
    <row r="239" customFormat="false" ht="15.75" hidden="false" customHeight="true" outlineLevel="0" collapsed="false">
      <c r="A239" s="76"/>
      <c r="B239" s="76" t="str">
        <f aca="false">IFERROR(__xludf.dummyfunction("""COMPUTED_VALUE"""),"Cocobolo (Rosewood)")</f>
        <v>Cocobolo (Rosewood)</v>
      </c>
      <c r="C239" s="88" t="n">
        <f aca="false">IFERROR(__xludf.dummyfunction("""COMPUTED_VALUE"""),1095)</f>
        <v>1095</v>
      </c>
      <c r="D239" s="59" t="n">
        <f aca="false">IFERROR(__xludf.dummyfunction("""COMPUTED_VALUE"""),0.375692307692308)</f>
        <v>0.375692307692308</v>
      </c>
      <c r="E239" s="89" t="n">
        <f aca="false">IFERROR(__xludf.dummyfunction("""COMPUTED_VALUE"""),18700000000)</f>
        <v>18700000000</v>
      </c>
      <c r="F239" s="89" t="n">
        <f aca="false">IFERROR(__xludf.dummyfunction("""COMPUTED_VALUE"""),158000000)</f>
        <v>158000000</v>
      </c>
      <c r="G239" s="89" t="n">
        <f aca="false">IFERROR(__xludf.dummyfunction("""COMPUTED_VALUE"""),0)</f>
        <v>0</v>
      </c>
      <c r="H239" s="89" t="n">
        <f aca="false">IFERROR(__xludf.dummyfunction("""COMPUTED_VALUE"""),81300000)</f>
        <v>81300000</v>
      </c>
      <c r="I239" s="90" t="n">
        <f aca="false">IFERROR(__xludf.dummyfunction("""COMPUTED_VALUE"""),1)</f>
        <v>1</v>
      </c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89"/>
      <c r="AK239" s="89"/>
    </row>
    <row r="240" customFormat="false" ht="15.75" hidden="false" customHeight="true" outlineLevel="0" collapsed="false">
      <c r="A240" s="76" t="s">
        <v>1548</v>
      </c>
      <c r="B240" s="76" t="str">
        <f aca="false">IFERROR(__xludf.dummyfunction("""COMPUTED_VALUE"""),"Ipê")</f>
        <v>Ipê</v>
      </c>
      <c r="C240" s="88" t="n">
        <f aca="false">IFERROR(__xludf.dummyfunction("""COMPUTED_VALUE"""),1100)</f>
        <v>1100</v>
      </c>
      <c r="D240" s="59" t="n">
        <f aca="false">IFERROR(__xludf.dummyfunction("""COMPUTED_VALUE"""),0.375692307692308)</f>
        <v>0.375692307692308</v>
      </c>
      <c r="E240" s="89" t="n">
        <f aca="false">IFERROR(__xludf.dummyfunction("""COMPUTED_VALUE"""),22070000000)</f>
        <v>22070000000</v>
      </c>
      <c r="F240" s="89" t="n">
        <f aca="false">IFERROR(__xludf.dummyfunction("""COMPUTED_VALUE"""),177000000)</f>
        <v>177000000</v>
      </c>
      <c r="G240" s="89" t="n">
        <f aca="false">IFERROR(__xludf.dummyfunction("""COMPUTED_VALUE"""),0)</f>
        <v>0</v>
      </c>
      <c r="H240" s="89" t="n">
        <f aca="false">IFERROR(__xludf.dummyfunction("""COMPUTED_VALUE"""),93800000)</f>
        <v>93800000</v>
      </c>
      <c r="I240" s="90" t="n">
        <f aca="false">IFERROR(__xludf.dummyfunction("""COMPUTED_VALUE"""),1)</f>
        <v>1</v>
      </c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</row>
    <row r="241" customFormat="false" ht="15.75" hidden="false" customHeight="true" outlineLevel="0" collapsed="false">
      <c r="A241" s="76"/>
      <c r="B241" s="76" t="str">
        <f aca="false">IFERROR(__xludf.dummyfunction("""COMPUTED_VALUE"""),"Pau Santo")</f>
        <v>Pau Santo</v>
      </c>
      <c r="C241" s="88" t="n">
        <f aca="false">IFERROR(__xludf.dummyfunction("""COMPUTED_VALUE"""),1115)</f>
        <v>1115</v>
      </c>
      <c r="D241" s="59" t="n">
        <f aca="false">IFERROR(__xludf.dummyfunction("""COMPUTED_VALUE"""),0.375692307692308)</f>
        <v>0.375692307692308</v>
      </c>
      <c r="E241" s="89" t="n">
        <f aca="false">IFERROR(__xludf.dummyfunction("""COMPUTED_VALUE"""),17850000000)</f>
        <v>17850000000</v>
      </c>
      <c r="F241" s="89" t="n">
        <f aca="false">IFERROR(__xludf.dummyfunction("""COMPUTED_VALUE"""),187800000)</f>
        <v>187800000</v>
      </c>
      <c r="G241" s="89" t="n">
        <f aca="false">IFERROR(__xludf.dummyfunction("""COMPUTED_VALUE"""),0)</f>
        <v>0</v>
      </c>
      <c r="H241" s="89" t="n">
        <f aca="false">IFERROR(__xludf.dummyfunction("""COMPUTED_VALUE"""),95500000)</f>
        <v>95500000</v>
      </c>
      <c r="I241" s="90" t="n">
        <f aca="false">IFERROR(__xludf.dummyfunction("""COMPUTED_VALUE"""),1)</f>
        <v>1</v>
      </c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  <c r="AJ241" s="89"/>
      <c r="AK241" s="89"/>
    </row>
    <row r="242" customFormat="false" ht="15.75" hidden="false" customHeight="true" outlineLevel="0" collapsed="false">
      <c r="A242" s="76"/>
      <c r="B242" s="76" t="str">
        <f aca="false">IFERROR(__xludf.dummyfunction("""COMPUTED_VALUE"""),"Macassar Ebony")</f>
        <v>Macassar Ebony</v>
      </c>
      <c r="C242" s="88" t="n">
        <f aca="false">IFERROR(__xludf.dummyfunction("""COMPUTED_VALUE"""),1120)</f>
        <v>1120</v>
      </c>
      <c r="D242" s="59" t="n">
        <f aca="false">IFERROR(__xludf.dummyfunction("""COMPUTED_VALUE"""),0.375692307692308)</f>
        <v>0.375692307692308</v>
      </c>
      <c r="E242" s="89" t="n">
        <f aca="false">IFERROR(__xludf.dummyfunction("""COMPUTED_VALUE"""),17350000000)</f>
        <v>17350000000</v>
      </c>
      <c r="F242" s="89" t="n">
        <f aca="false">IFERROR(__xludf.dummyfunction("""COMPUTED_VALUE"""),157200000)</f>
        <v>157200000</v>
      </c>
      <c r="G242" s="89" t="n">
        <f aca="false">IFERROR(__xludf.dummyfunction("""COMPUTED_VALUE"""),0)</f>
        <v>0</v>
      </c>
      <c r="H242" s="89" t="n">
        <f aca="false">IFERROR(__xludf.dummyfunction("""COMPUTED_VALUE"""),80200000)</f>
        <v>80200000</v>
      </c>
      <c r="I242" s="90" t="n">
        <f aca="false">IFERROR(__xludf.dummyfunction("""COMPUTED_VALUE"""),1)</f>
        <v>1</v>
      </c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  <c r="AJ242" s="89"/>
      <c r="AK242" s="89"/>
    </row>
    <row r="243" customFormat="false" ht="15.75" hidden="false" customHeight="true" outlineLevel="0" collapsed="false">
      <c r="A243" s="76"/>
      <c r="B243" s="76" t="str">
        <f aca="false">IFERROR(__xludf.dummyfunction("""COMPUTED_VALUE"""),"Gidgee")</f>
        <v>Gidgee</v>
      </c>
      <c r="C243" s="88" t="n">
        <f aca="false">IFERROR(__xludf.dummyfunction("""COMPUTED_VALUE"""),1150)</f>
        <v>1150</v>
      </c>
      <c r="D243" s="59" t="n">
        <f aca="false">IFERROR(__xludf.dummyfunction("""COMPUTED_VALUE"""),0.375692307692308)</f>
        <v>0.375692307692308</v>
      </c>
      <c r="E243" s="89" t="n">
        <f aca="false">IFERROR(__xludf.dummyfunction("""COMPUTED_VALUE"""),18500000000)</f>
        <v>18500000000</v>
      </c>
      <c r="F243" s="89" t="n">
        <f aca="false">IFERROR(__xludf.dummyfunction("""COMPUTED_VALUE"""),130000000)</f>
        <v>130000000</v>
      </c>
      <c r="G243" s="89" t="n">
        <f aca="false">IFERROR(__xludf.dummyfunction("""COMPUTED_VALUE"""),0)</f>
        <v>0</v>
      </c>
      <c r="H243" s="89" t="n">
        <f aca="false">IFERROR(__xludf.dummyfunction("""COMPUTED_VALUE"""),70000000)</f>
        <v>70000000</v>
      </c>
      <c r="I243" s="90" t="n">
        <f aca="false">IFERROR(__xludf.dummyfunction("""COMPUTED_VALUE"""),1)</f>
        <v>1</v>
      </c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</row>
    <row r="244" customFormat="false" ht="24.75" hidden="false" customHeight="true" outlineLevel="0" collapsed="false">
      <c r="A244" s="76"/>
      <c r="B244" s="91" t="str">
        <f aca="false">IFERROR(__xludf.dummyfunction("""COMPUTED_VALUE"""),"Katalox
(Mexican not Ebony)")</f>
        <v>Katalox
(Mexican not Ebony)</v>
      </c>
      <c r="C244" s="88" t="n">
        <f aca="false">IFERROR(__xludf.dummyfunction("""COMPUTED_VALUE"""),1150)</f>
        <v>1150</v>
      </c>
      <c r="D244" s="59" t="n">
        <f aca="false">IFERROR(__xludf.dummyfunction("""COMPUTED_VALUE"""),0.375692307692308)</f>
        <v>0.375692307692308</v>
      </c>
      <c r="E244" s="89" t="n">
        <f aca="false">IFERROR(__xludf.dummyfunction("""COMPUTED_VALUE"""),25620000000)</f>
        <v>25620000000</v>
      </c>
      <c r="F244" s="89" t="n">
        <f aca="false">IFERROR(__xludf.dummyfunction("""COMPUTED_VALUE"""),193200000)</f>
        <v>193200000</v>
      </c>
      <c r="G244" s="89" t="n">
        <f aca="false">IFERROR(__xludf.dummyfunction("""COMPUTED_VALUE"""),0)</f>
        <v>0</v>
      </c>
      <c r="H244" s="89" t="n">
        <f aca="false">IFERROR(__xludf.dummyfunction("""COMPUTED_VALUE"""),105100000)</f>
        <v>105100000</v>
      </c>
      <c r="I244" s="90" t="n">
        <f aca="false">IFERROR(__xludf.dummyfunction("""COMPUTED_VALUE"""),1)</f>
        <v>1</v>
      </c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/>
    </row>
    <row r="245" customFormat="false" ht="15.75" hidden="false" customHeight="true" outlineLevel="0" collapsed="false">
      <c r="A245" s="76"/>
      <c r="B245" s="76" t="str">
        <f aca="false">IFERROR(__xludf.dummyfunction("""COMPUTED_VALUE"""),"Malaysian Blackwood (Ebony)")</f>
        <v>Malaysian Blackwood (Ebony)</v>
      </c>
      <c r="C245" s="88" t="n">
        <f aca="false">IFERROR(__xludf.dummyfunction("""COMPUTED_VALUE"""),1155)</f>
        <v>1155</v>
      </c>
      <c r="D245" s="59" t="n">
        <f aca="false">IFERROR(__xludf.dummyfunction("""COMPUTED_VALUE"""),0.375692307692308)</f>
        <v>0.375692307692308</v>
      </c>
      <c r="E245" s="89"/>
      <c r="F245" s="89"/>
      <c r="G245" s="89" t="n">
        <f aca="false">IFERROR(__xludf.dummyfunction("""COMPUTED_VALUE"""),0)</f>
        <v>0</v>
      </c>
      <c r="H245" s="89"/>
      <c r="I245" s="90" t="n">
        <f aca="false">IFERROR(__xludf.dummyfunction("""COMPUTED_VALUE"""),1)</f>
        <v>1</v>
      </c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</row>
    <row r="246" customFormat="false" ht="15.75" hidden="false" customHeight="true" outlineLevel="0" collapsed="false">
      <c r="A246" s="76"/>
      <c r="B246" s="76" t="str">
        <f aca="false">IFERROR(__xludf.dummyfunction("""COMPUTED_VALUE"""),"Verawood")</f>
        <v>Verawood</v>
      </c>
      <c r="C246" s="88" t="n">
        <f aca="false">IFERROR(__xludf.dummyfunction("""COMPUTED_VALUE"""),1190)</f>
        <v>1190</v>
      </c>
      <c r="D246" s="59" t="n">
        <f aca="false">IFERROR(__xludf.dummyfunction("""COMPUTED_VALUE"""),0.375692307692308)</f>
        <v>0.375692307692308</v>
      </c>
      <c r="E246" s="89" t="n">
        <f aca="false">IFERROR(__xludf.dummyfunction("""COMPUTED_VALUE"""),15670000000)</f>
        <v>15670000000</v>
      </c>
      <c r="F246" s="89" t="n">
        <f aca="false">IFERROR(__xludf.dummyfunction("""COMPUTED_VALUE"""),177400000)</f>
        <v>177400000</v>
      </c>
      <c r="G246" s="89" t="n">
        <f aca="false">IFERROR(__xludf.dummyfunction("""COMPUTED_VALUE"""),0)</f>
        <v>0</v>
      </c>
      <c r="H246" s="89" t="n">
        <f aca="false">IFERROR(__xludf.dummyfunction("""COMPUTED_VALUE"""),74700000)</f>
        <v>74700000</v>
      </c>
      <c r="I246" s="90" t="n">
        <f aca="false">IFERROR(__xludf.dummyfunction("""COMPUTED_VALUE"""),1)</f>
        <v>1</v>
      </c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/>
    </row>
    <row r="247" customFormat="false" ht="15.75" hidden="false" customHeight="true" outlineLevel="0" collapsed="false">
      <c r="A247" s="76"/>
      <c r="B247" s="76" t="str">
        <f aca="false">IFERROR(__xludf.dummyfunction("""COMPUTED_VALUE"""),"Kingwood (Rosewood)")</f>
        <v>Kingwood (Rosewood)</v>
      </c>
      <c r="C247" s="88" t="n">
        <f aca="false">IFERROR(__xludf.dummyfunction("""COMPUTED_VALUE"""),1200)</f>
        <v>1200</v>
      </c>
      <c r="D247" s="59" t="n">
        <f aca="false">IFERROR(__xludf.dummyfunction("""COMPUTED_VALUE"""),0.375692307692308)</f>
        <v>0.375692307692308</v>
      </c>
      <c r="E247" s="89" t="n">
        <f aca="false">IFERROR(__xludf.dummyfunction("""COMPUTED_VALUE"""),20000000000)</f>
        <v>20000000000</v>
      </c>
      <c r="F247" s="89"/>
      <c r="G247" s="89" t="n">
        <f aca="false">IFERROR(__xludf.dummyfunction("""COMPUTED_VALUE"""),0)</f>
        <v>0</v>
      </c>
      <c r="H247" s="89"/>
      <c r="I247" s="90" t="n">
        <f aca="false">IFERROR(__xludf.dummyfunction("""COMPUTED_VALUE"""),1)</f>
        <v>1</v>
      </c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/>
    </row>
    <row r="248" customFormat="false" ht="15.75" hidden="false" customHeight="true" outlineLevel="0" collapsed="false">
      <c r="A248" s="76"/>
      <c r="B248" s="76" t="str">
        <f aca="false">IFERROR(__xludf.dummyfunction("""COMPUTED_VALUE"""),"Snakewood")</f>
        <v>Snakewood</v>
      </c>
      <c r="C248" s="88" t="n">
        <f aca="false">IFERROR(__xludf.dummyfunction("""COMPUTED_VALUE"""),1210)</f>
        <v>1210</v>
      </c>
      <c r="D248" s="59" t="n">
        <f aca="false">IFERROR(__xludf.dummyfunction("""COMPUTED_VALUE"""),0.375692307692308)</f>
        <v>0.375692307692308</v>
      </c>
      <c r="E248" s="89" t="n">
        <f aca="false">IFERROR(__xludf.dummyfunction("""COMPUTED_VALUE"""),23200000000)</f>
        <v>23200000000</v>
      </c>
      <c r="F248" s="89" t="n">
        <f aca="false">IFERROR(__xludf.dummyfunction("""COMPUTED_VALUE"""),195000000)</f>
        <v>195000000</v>
      </c>
      <c r="G248" s="89" t="n">
        <f aca="false">IFERROR(__xludf.dummyfunction("""COMPUTED_VALUE"""),0)</f>
        <v>0</v>
      </c>
      <c r="H248" s="89" t="n">
        <f aca="false">IFERROR(__xludf.dummyfunction("""COMPUTED_VALUE"""),119000000)</f>
        <v>119000000</v>
      </c>
      <c r="I248" s="90" t="n">
        <f aca="false">IFERROR(__xludf.dummyfunction("""COMPUTED_VALUE"""),1)</f>
        <v>1</v>
      </c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/>
    </row>
    <row r="249" customFormat="false" ht="15.75" hidden="false" customHeight="true" outlineLevel="0" collapsed="false">
      <c r="A249" s="76"/>
      <c r="B249" s="76" t="str">
        <f aca="false">IFERROR(__xludf.dummyfunction("""COMPUTED_VALUE"""),"Snakewood (Australia Acacia)")</f>
        <v>Snakewood (Australia Acacia)</v>
      </c>
      <c r="C249" s="88"/>
      <c r="D249" s="59"/>
      <c r="E249" s="89"/>
      <c r="F249" s="89"/>
      <c r="G249" s="89" t="n">
        <f aca="false">IFERROR(__xludf.dummyfunction("""COMPUTED_VALUE"""),0)</f>
        <v>0</v>
      </c>
      <c r="H249" s="89"/>
      <c r="I249" s="90" t="n">
        <f aca="false">IFERROR(__xludf.dummyfunction("""COMPUTED_VALUE"""),1)</f>
        <v>1</v>
      </c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89"/>
    </row>
    <row r="250" customFormat="false" ht="15.75" hidden="false" customHeight="true" outlineLevel="0" collapsed="false">
      <c r="A250" s="76"/>
      <c r="B250" s="76" t="str">
        <f aca="false">IFERROR(__xludf.dummyfunction("""COMPUTED_VALUE"""),"Desert Ironwood")</f>
        <v>Desert Ironwood</v>
      </c>
      <c r="C250" s="88" t="n">
        <f aca="false">IFERROR(__xludf.dummyfunction("""COMPUTED_VALUE"""),1210)</f>
        <v>1210</v>
      </c>
      <c r="D250" s="59" t="n">
        <f aca="false">IFERROR(__xludf.dummyfunction("""COMPUTED_VALUE"""),0.375692307692308)</f>
        <v>0.375692307692308</v>
      </c>
      <c r="E250" s="89"/>
      <c r="F250" s="89" t="n">
        <f aca="false">IFERROR(__xludf.dummyfunction("""COMPUTED_VALUE"""),75000000)</f>
        <v>75000000</v>
      </c>
      <c r="G250" s="89" t="n">
        <f aca="false">IFERROR(__xludf.dummyfunction("""COMPUTED_VALUE"""),0)</f>
        <v>0</v>
      </c>
      <c r="H250" s="89"/>
      <c r="I250" s="90" t="n">
        <f aca="false">IFERROR(__xludf.dummyfunction("""COMPUTED_VALUE"""),1)</f>
        <v>1</v>
      </c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89"/>
    </row>
    <row r="251" customFormat="false" ht="15.75" hidden="false" customHeight="true" outlineLevel="0" collapsed="false">
      <c r="A251" s="76"/>
      <c r="B251" s="76" t="str">
        <f aca="false">IFERROR(__xludf.dummyfunction("""COMPUTED_VALUE"""),"Lignum Vitae")</f>
        <v>Lignum Vitae</v>
      </c>
      <c r="C251" s="88" t="n">
        <f aca="false">IFERROR(__xludf.dummyfunction("""COMPUTED_VALUE"""),1260)</f>
        <v>1260</v>
      </c>
      <c r="D251" s="59" t="n">
        <f aca="false">IFERROR(__xludf.dummyfunction("""COMPUTED_VALUE"""),0.375692307692308)</f>
        <v>0.375692307692308</v>
      </c>
      <c r="E251" s="89" t="n">
        <f aca="false">IFERROR(__xludf.dummyfunction("""COMPUTED_VALUE"""),14090000000)</f>
        <v>14090000000</v>
      </c>
      <c r="F251" s="89" t="n">
        <f aca="false">IFERROR(__xludf.dummyfunction("""COMPUTED_VALUE"""),127200000)</f>
        <v>127200000</v>
      </c>
      <c r="G251" s="89" t="n">
        <f aca="false">IFERROR(__xludf.dummyfunction("""COMPUTED_VALUE"""),0)</f>
        <v>0</v>
      </c>
      <c r="H251" s="89" t="n">
        <f aca="false">IFERROR(__xludf.dummyfunction("""COMPUTED_VALUE"""),84100000)</f>
        <v>84100000</v>
      </c>
      <c r="I251" s="90" t="n">
        <f aca="false">IFERROR(__xludf.dummyfunction("""COMPUTED_VALUE"""),1)</f>
        <v>1</v>
      </c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</row>
    <row r="252" customFormat="false" ht="15.75" hidden="false" customHeight="true" outlineLevel="0" collapsed="false">
      <c r="A252" s="76"/>
      <c r="B252" s="76" t="str">
        <f aca="false">IFERROR(__xludf.dummyfunction("""COMPUTED_VALUE"""),"African Blackwood (Rosewood)")</f>
        <v>African Blackwood (Rosewood)</v>
      </c>
      <c r="C252" s="88" t="n">
        <f aca="false">IFERROR(__xludf.dummyfunction("""COMPUTED_VALUE"""),1270)</f>
        <v>1270</v>
      </c>
      <c r="D252" s="59" t="n">
        <f aca="false">IFERROR(__xludf.dummyfunction("""COMPUTED_VALUE"""),0.375692307692308)</f>
        <v>0.375692307692308</v>
      </c>
      <c r="E252" s="89" t="n">
        <f aca="false">IFERROR(__xludf.dummyfunction("""COMPUTED_VALUE"""),17950000000)</f>
        <v>17950000000</v>
      </c>
      <c r="F252" s="89" t="n">
        <f aca="false">IFERROR(__xludf.dummyfunction("""COMPUTED_VALUE"""),213600000)</f>
        <v>213600000</v>
      </c>
      <c r="G252" s="89" t="n">
        <f aca="false">IFERROR(__xludf.dummyfunction("""COMPUTED_VALUE"""),0)</f>
        <v>0</v>
      </c>
      <c r="H252" s="89" t="n">
        <f aca="false">IFERROR(__xludf.dummyfunction("""COMPUTED_VALUE"""),72900000)</f>
        <v>72900000</v>
      </c>
      <c r="I252" s="90" t="n">
        <f aca="false">IFERROR(__xludf.dummyfunction("""COMPUTED_VALUE"""),1)</f>
        <v>1</v>
      </c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</row>
    <row r="253" customFormat="false" ht="15.75" hidden="false" customHeight="true" outlineLevel="0" collapsed="false">
      <c r="A253" s="76"/>
      <c r="B253" s="76" t="str">
        <f aca="false">IFERROR(__xludf.dummyfunction("""COMPUTED_VALUE"""),"Black Ironwood")</f>
        <v>Black Ironwood</v>
      </c>
      <c r="C253" s="88" t="n">
        <f aca="false">IFERROR(__xludf.dummyfunction("""COMPUTED_VALUE"""),1355)</f>
        <v>1355</v>
      </c>
      <c r="D253" s="59" t="n">
        <f aca="false">IFERROR(__xludf.dummyfunction("""COMPUTED_VALUE"""),0.375692307692308)</f>
        <v>0.375692307692308</v>
      </c>
      <c r="E253" s="89" t="n">
        <f aca="false">IFERROR(__xludf.dummyfunction("""COMPUTED_VALUE"""),20460000000)</f>
        <v>20460000000</v>
      </c>
      <c r="F253" s="89" t="n">
        <f aca="false">IFERROR(__xludf.dummyfunction("""COMPUTED_VALUE"""),125500000)</f>
        <v>125500000</v>
      </c>
      <c r="G253" s="89" t="n">
        <f aca="false">IFERROR(__xludf.dummyfunction("""COMPUTED_VALUE"""),0)</f>
        <v>0</v>
      </c>
      <c r="H253" s="89" t="n">
        <f aca="false">IFERROR(__xludf.dummyfunction("""COMPUTED_VALUE"""),68600000)</f>
        <v>68600000</v>
      </c>
      <c r="I253" s="90" t="n">
        <f aca="false">IFERROR(__xludf.dummyfunction("""COMPUTED_VALUE"""),1)</f>
        <v>1</v>
      </c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</row>
    <row r="254" customFormat="false" ht="15.75" hidden="false" customHeight="true" outlineLevel="0" collapsed="false">
      <c r="A254" s="76"/>
      <c r="B254" s="76"/>
      <c r="C254" s="88"/>
      <c r="D254" s="89"/>
      <c r="E254" s="89"/>
      <c r="F254" s="89"/>
      <c r="G254" s="89"/>
      <c r="H254" s="89"/>
      <c r="I254" s="90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</row>
    <row r="255" customFormat="false" ht="15.75" hidden="false" customHeight="true" outlineLevel="0" collapsed="false">
      <c r="A255" s="76"/>
      <c r="B255" s="76"/>
      <c r="C255" s="88"/>
      <c r="D255" s="89"/>
      <c r="E255" s="89"/>
      <c r="F255" s="89"/>
      <c r="G255" s="89"/>
      <c r="H255" s="89"/>
      <c r="I255" s="90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</row>
    <row r="256" customFormat="false" ht="15.75" hidden="false" customHeight="true" outlineLevel="0" collapsed="false">
      <c r="A256" s="76"/>
      <c r="B256" s="76"/>
      <c r="C256" s="88"/>
      <c r="D256" s="89"/>
      <c r="E256" s="89"/>
      <c r="F256" s="89"/>
      <c r="G256" s="89"/>
      <c r="H256" s="89"/>
      <c r="I256" s="90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</row>
    <row r="257" customFormat="false" ht="15.75" hidden="false" customHeight="true" outlineLevel="0" collapsed="false">
      <c r="A257" s="76"/>
      <c r="B257" s="76"/>
      <c r="C257" s="88"/>
      <c r="D257" s="89"/>
      <c r="E257" s="89"/>
      <c r="F257" s="89"/>
      <c r="G257" s="89"/>
      <c r="H257" s="89"/>
      <c r="I257" s="90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</row>
    <row r="258" customFormat="false" ht="15.75" hidden="false" customHeight="true" outlineLevel="0" collapsed="false">
      <c r="A258" s="76"/>
      <c r="B258" s="76"/>
      <c r="C258" s="88"/>
      <c r="D258" s="89"/>
      <c r="E258" s="89"/>
      <c r="F258" s="89"/>
      <c r="G258" s="89"/>
      <c r="H258" s="89"/>
      <c r="I258" s="90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</row>
    <row r="259" customFormat="false" ht="15.75" hidden="false" customHeight="true" outlineLevel="0" collapsed="false">
      <c r="A259" s="76"/>
      <c r="B259" s="76"/>
      <c r="C259" s="88"/>
      <c r="D259" s="89"/>
      <c r="E259" s="89"/>
      <c r="F259" s="89"/>
      <c r="G259" s="89"/>
      <c r="H259" s="89"/>
      <c r="I259" s="90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</row>
    <row r="260" customFormat="false" ht="15.75" hidden="false" customHeight="true" outlineLevel="0" collapsed="false">
      <c r="A260" s="76"/>
      <c r="B260" s="76"/>
      <c r="C260" s="88"/>
      <c r="D260" s="89"/>
      <c r="E260" s="89"/>
      <c r="F260" s="89"/>
      <c r="G260" s="89"/>
      <c r="H260" s="89"/>
      <c r="I260" s="90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</row>
    <row r="261" customFormat="false" ht="15.75" hidden="false" customHeight="true" outlineLevel="0" collapsed="false">
      <c r="A261" s="76"/>
      <c r="B261" s="76"/>
      <c r="C261" s="88"/>
      <c r="D261" s="89"/>
      <c r="E261" s="89"/>
      <c r="F261" s="89"/>
      <c r="G261" s="89"/>
      <c r="H261" s="89"/>
      <c r="I261" s="90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</row>
    <row r="262" customFormat="false" ht="15.75" hidden="false" customHeight="true" outlineLevel="0" collapsed="false">
      <c r="A262" s="76"/>
      <c r="B262" s="76"/>
      <c r="C262" s="88"/>
      <c r="D262" s="89"/>
      <c r="E262" s="89"/>
      <c r="F262" s="89"/>
      <c r="G262" s="89"/>
      <c r="H262" s="89"/>
      <c r="I262" s="90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</row>
    <row r="263" customFormat="false" ht="15.75" hidden="false" customHeight="true" outlineLevel="0" collapsed="false">
      <c r="A263" s="76"/>
      <c r="B263" s="76"/>
      <c r="C263" s="88"/>
      <c r="D263" s="89"/>
      <c r="E263" s="89"/>
      <c r="F263" s="89"/>
      <c r="G263" s="89"/>
      <c r="H263" s="89"/>
      <c r="I263" s="90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</row>
    <row r="264" customFormat="false" ht="15.75" hidden="false" customHeight="true" outlineLevel="0" collapsed="false">
      <c r="A264" s="76"/>
      <c r="B264" s="76"/>
      <c r="C264" s="88"/>
      <c r="D264" s="89"/>
      <c r="E264" s="89"/>
      <c r="F264" s="89"/>
      <c r="G264" s="89"/>
      <c r="H264" s="89"/>
      <c r="I264" s="90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89"/>
    </row>
    <row r="265" customFormat="false" ht="15.75" hidden="false" customHeight="true" outlineLevel="0" collapsed="false">
      <c r="A265" s="76"/>
      <c r="B265" s="76"/>
      <c r="C265" s="88"/>
      <c r="D265" s="89"/>
      <c r="E265" s="89"/>
      <c r="F265" s="89"/>
      <c r="G265" s="89"/>
      <c r="H265" s="89"/>
      <c r="I265" s="90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</row>
    <row r="266" customFormat="false" ht="15.75" hidden="false" customHeight="true" outlineLevel="0" collapsed="false">
      <c r="A266" s="76"/>
      <c r="B266" s="76"/>
      <c r="C266" s="88"/>
      <c r="D266" s="89"/>
      <c r="E266" s="89"/>
      <c r="F266" s="89"/>
      <c r="G266" s="89"/>
      <c r="H266" s="89"/>
      <c r="I266" s="90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89"/>
    </row>
    <row r="267" customFormat="false" ht="15.75" hidden="false" customHeight="true" outlineLevel="0" collapsed="false">
      <c r="A267" s="76"/>
      <c r="B267" s="76"/>
      <c r="C267" s="88"/>
      <c r="D267" s="89"/>
      <c r="E267" s="89"/>
      <c r="F267" s="89"/>
      <c r="G267" s="89"/>
      <c r="H267" s="89"/>
      <c r="I267" s="90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</row>
    <row r="268" customFormat="false" ht="15.75" hidden="false" customHeight="true" outlineLevel="0" collapsed="false">
      <c r="A268" s="76"/>
      <c r="B268" s="76"/>
      <c r="C268" s="88"/>
      <c r="D268" s="89"/>
      <c r="E268" s="89"/>
      <c r="F268" s="89"/>
      <c r="G268" s="89"/>
      <c r="H268" s="89"/>
      <c r="I268" s="90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</row>
    <row r="269" customFormat="false" ht="15.75" hidden="false" customHeight="true" outlineLevel="0" collapsed="false">
      <c r="A269" s="76"/>
      <c r="B269" s="76"/>
      <c r="C269" s="88"/>
      <c r="D269" s="89"/>
      <c r="E269" s="89"/>
      <c r="F269" s="89"/>
      <c r="G269" s="89"/>
      <c r="H269" s="89"/>
      <c r="I269" s="90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</row>
    <row r="270" customFormat="false" ht="15.75" hidden="false" customHeight="true" outlineLevel="0" collapsed="false">
      <c r="A270" s="76"/>
      <c r="B270" s="76"/>
      <c r="C270" s="88"/>
      <c r="D270" s="89"/>
      <c r="E270" s="89"/>
      <c r="F270" s="89"/>
      <c r="G270" s="89"/>
      <c r="H270" s="89"/>
      <c r="I270" s="90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89"/>
    </row>
    <row r="271" customFormat="false" ht="15.75" hidden="false" customHeight="true" outlineLevel="0" collapsed="false">
      <c r="A271" s="76"/>
      <c r="B271" s="76"/>
      <c r="C271" s="88"/>
      <c r="D271" s="89"/>
      <c r="E271" s="89"/>
      <c r="F271" s="89"/>
      <c r="G271" s="89"/>
      <c r="H271" s="89"/>
      <c r="I271" s="90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89"/>
    </row>
    <row r="272" customFormat="false" ht="15.75" hidden="false" customHeight="true" outlineLevel="0" collapsed="false">
      <c r="A272" s="76"/>
      <c r="B272" s="76"/>
      <c r="C272" s="88"/>
      <c r="D272" s="89"/>
      <c r="E272" s="89"/>
      <c r="F272" s="89"/>
      <c r="G272" s="89"/>
      <c r="H272" s="89"/>
      <c r="I272" s="90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89"/>
    </row>
    <row r="273" customFormat="false" ht="15.75" hidden="false" customHeight="true" outlineLevel="0" collapsed="false">
      <c r="A273" s="76"/>
      <c r="B273" s="76"/>
      <c r="C273" s="88"/>
      <c r="D273" s="89"/>
      <c r="E273" s="89"/>
      <c r="F273" s="89"/>
      <c r="G273" s="89"/>
      <c r="H273" s="89"/>
      <c r="I273" s="90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</row>
    <row r="274" customFormat="false" ht="15.75" hidden="false" customHeight="true" outlineLevel="0" collapsed="false">
      <c r="A274" s="76"/>
      <c r="B274" s="76"/>
      <c r="C274" s="88"/>
      <c r="D274" s="89"/>
      <c r="E274" s="89"/>
      <c r="F274" s="89"/>
      <c r="G274" s="89"/>
      <c r="H274" s="89"/>
      <c r="I274" s="90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89"/>
    </row>
    <row r="275" customFormat="false" ht="15.75" hidden="false" customHeight="true" outlineLevel="0" collapsed="false">
      <c r="A275" s="76"/>
      <c r="B275" s="76"/>
      <c r="C275" s="88"/>
      <c r="D275" s="89"/>
      <c r="E275" s="89"/>
      <c r="F275" s="89"/>
      <c r="G275" s="89"/>
      <c r="H275" s="89"/>
      <c r="I275" s="90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89"/>
    </row>
    <row r="276" customFormat="false" ht="15.75" hidden="false" customHeight="true" outlineLevel="0" collapsed="false">
      <c r="A276" s="76"/>
      <c r="B276" s="76"/>
      <c r="C276" s="88"/>
      <c r="D276" s="89"/>
      <c r="E276" s="89"/>
      <c r="F276" s="89"/>
      <c r="G276" s="89"/>
      <c r="H276" s="89"/>
      <c r="I276" s="90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89"/>
    </row>
    <row r="277" customFormat="false" ht="15.75" hidden="false" customHeight="true" outlineLevel="0" collapsed="false">
      <c r="A277" s="76"/>
      <c r="B277" s="76"/>
      <c r="C277" s="88"/>
      <c r="D277" s="89"/>
      <c r="E277" s="89"/>
      <c r="F277" s="89"/>
      <c r="G277" s="89"/>
      <c r="H277" s="89"/>
      <c r="I277" s="90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</row>
    <row r="278" customFormat="false" ht="15.75" hidden="false" customHeight="true" outlineLevel="0" collapsed="false">
      <c r="A278" s="76"/>
      <c r="B278" s="76"/>
      <c r="C278" s="88"/>
      <c r="D278" s="89"/>
      <c r="E278" s="89"/>
      <c r="F278" s="89"/>
      <c r="G278" s="89"/>
      <c r="H278" s="89"/>
      <c r="I278" s="90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</row>
    <row r="279" customFormat="false" ht="15.75" hidden="false" customHeight="true" outlineLevel="0" collapsed="false">
      <c r="A279" s="76"/>
      <c r="B279" s="76"/>
      <c r="C279" s="88"/>
      <c r="D279" s="89"/>
      <c r="E279" s="89"/>
      <c r="F279" s="89"/>
      <c r="G279" s="89"/>
      <c r="H279" s="89"/>
      <c r="I279" s="90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</row>
    <row r="280" customFormat="false" ht="15.75" hidden="false" customHeight="true" outlineLevel="0" collapsed="false">
      <c r="A280" s="76"/>
      <c r="B280" s="76"/>
      <c r="C280" s="88"/>
      <c r="D280" s="89"/>
      <c r="E280" s="89"/>
      <c r="F280" s="89"/>
      <c r="G280" s="89"/>
      <c r="H280" s="89"/>
      <c r="I280" s="90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</row>
    <row r="281" customFormat="false" ht="15.75" hidden="false" customHeight="true" outlineLevel="0" collapsed="false">
      <c r="A281" s="76"/>
      <c r="B281" s="76"/>
      <c r="C281" s="88"/>
      <c r="D281" s="89"/>
      <c r="E281" s="89"/>
      <c r="F281" s="89"/>
      <c r="G281" s="89"/>
      <c r="H281" s="89"/>
      <c r="I281" s="90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89"/>
    </row>
    <row r="282" customFormat="false" ht="15.75" hidden="false" customHeight="true" outlineLevel="0" collapsed="false">
      <c r="A282" s="76"/>
      <c r="B282" s="76"/>
      <c r="C282" s="88"/>
      <c r="D282" s="89"/>
      <c r="E282" s="89"/>
      <c r="F282" s="89"/>
      <c r="G282" s="89"/>
      <c r="H282" s="89"/>
      <c r="I282" s="90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89"/>
    </row>
    <row r="283" customFormat="false" ht="15.75" hidden="false" customHeight="true" outlineLevel="0" collapsed="false">
      <c r="A283" s="76"/>
      <c r="B283" s="76"/>
      <c r="C283" s="88"/>
      <c r="D283" s="89"/>
      <c r="E283" s="89"/>
      <c r="F283" s="89"/>
      <c r="G283" s="89"/>
      <c r="H283" s="89"/>
      <c r="I283" s="90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</row>
    <row r="284" customFormat="false" ht="15.75" hidden="false" customHeight="true" outlineLevel="0" collapsed="false">
      <c r="A284" s="76"/>
      <c r="B284" s="76"/>
      <c r="C284" s="88"/>
      <c r="D284" s="89"/>
      <c r="E284" s="89"/>
      <c r="F284" s="89"/>
      <c r="G284" s="89"/>
      <c r="H284" s="89"/>
      <c r="I284" s="90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</row>
    <row r="285" customFormat="false" ht="15.75" hidden="false" customHeight="true" outlineLevel="0" collapsed="false">
      <c r="A285" s="76"/>
      <c r="B285" s="76"/>
      <c r="C285" s="88"/>
      <c r="D285" s="89"/>
      <c r="E285" s="89"/>
      <c r="F285" s="89"/>
      <c r="G285" s="89"/>
      <c r="H285" s="89"/>
      <c r="I285" s="90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</row>
    <row r="286" customFormat="false" ht="15.75" hidden="false" customHeight="true" outlineLevel="0" collapsed="false">
      <c r="A286" s="76"/>
      <c r="B286" s="76"/>
      <c r="C286" s="88"/>
      <c r="D286" s="89"/>
      <c r="E286" s="89"/>
      <c r="F286" s="89"/>
      <c r="G286" s="89"/>
      <c r="H286" s="89"/>
      <c r="I286" s="90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</row>
    <row r="287" customFormat="false" ht="15.75" hidden="false" customHeight="true" outlineLevel="0" collapsed="false">
      <c r="A287" s="76"/>
      <c r="B287" s="76"/>
      <c r="C287" s="88"/>
      <c r="D287" s="89"/>
      <c r="E287" s="89"/>
      <c r="F287" s="89"/>
      <c r="G287" s="89"/>
      <c r="H287" s="89"/>
      <c r="I287" s="90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</row>
    <row r="288" customFormat="false" ht="15.75" hidden="false" customHeight="true" outlineLevel="0" collapsed="false">
      <c r="A288" s="76"/>
      <c r="B288" s="76"/>
      <c r="C288" s="88"/>
      <c r="D288" s="89"/>
      <c r="E288" s="89"/>
      <c r="F288" s="89"/>
      <c r="G288" s="89"/>
      <c r="H288" s="89"/>
      <c r="I288" s="90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</row>
    <row r="289" customFormat="false" ht="15.75" hidden="false" customHeight="true" outlineLevel="0" collapsed="false">
      <c r="A289" s="76"/>
      <c r="B289" s="76"/>
      <c r="C289" s="88"/>
      <c r="D289" s="89"/>
      <c r="E289" s="89"/>
      <c r="F289" s="89"/>
      <c r="G289" s="89"/>
      <c r="H289" s="89"/>
      <c r="I289" s="90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</row>
    <row r="290" customFormat="false" ht="15.75" hidden="false" customHeight="true" outlineLevel="0" collapsed="false">
      <c r="A290" s="76"/>
      <c r="B290" s="76"/>
      <c r="C290" s="88"/>
      <c r="D290" s="89"/>
      <c r="E290" s="89"/>
      <c r="F290" s="89"/>
      <c r="G290" s="89"/>
      <c r="H290" s="89"/>
      <c r="I290" s="90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</row>
    <row r="291" customFormat="false" ht="15.75" hidden="false" customHeight="true" outlineLevel="0" collapsed="false">
      <c r="A291" s="76"/>
      <c r="B291" s="76"/>
      <c r="C291" s="88"/>
      <c r="D291" s="89"/>
      <c r="E291" s="89"/>
      <c r="F291" s="89"/>
      <c r="G291" s="89"/>
      <c r="H291" s="89"/>
      <c r="I291" s="90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89"/>
    </row>
    <row r="292" customFormat="false" ht="15.75" hidden="false" customHeight="true" outlineLevel="0" collapsed="false">
      <c r="A292" s="76"/>
      <c r="B292" s="76"/>
      <c r="C292" s="88"/>
      <c r="D292" s="89"/>
      <c r="E292" s="89"/>
      <c r="F292" s="89"/>
      <c r="G292" s="89"/>
      <c r="H292" s="89"/>
      <c r="I292" s="90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</row>
    <row r="293" customFormat="false" ht="15.75" hidden="false" customHeight="true" outlineLevel="0" collapsed="false">
      <c r="A293" s="76"/>
      <c r="B293" s="76"/>
      <c r="C293" s="88"/>
      <c r="D293" s="89"/>
      <c r="E293" s="89"/>
      <c r="F293" s="89"/>
      <c r="G293" s="89"/>
      <c r="H293" s="89"/>
      <c r="I293" s="90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</row>
    <row r="294" customFormat="false" ht="15.75" hidden="false" customHeight="true" outlineLevel="0" collapsed="false">
      <c r="A294" s="76"/>
      <c r="B294" s="76"/>
      <c r="C294" s="88"/>
      <c r="D294" s="89"/>
      <c r="E294" s="89"/>
      <c r="F294" s="89"/>
      <c r="G294" s="89"/>
      <c r="H294" s="89"/>
      <c r="I294" s="90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</row>
    <row r="295" customFormat="false" ht="15.75" hidden="false" customHeight="true" outlineLevel="0" collapsed="false">
      <c r="A295" s="76"/>
      <c r="B295" s="76"/>
      <c r="C295" s="88"/>
      <c r="D295" s="89"/>
      <c r="E295" s="89"/>
      <c r="F295" s="89"/>
      <c r="G295" s="89"/>
      <c r="H295" s="89"/>
      <c r="I295" s="90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</row>
    <row r="296" customFormat="false" ht="15.75" hidden="false" customHeight="true" outlineLevel="0" collapsed="false">
      <c r="A296" s="76"/>
      <c r="B296" s="76"/>
      <c r="C296" s="88"/>
      <c r="D296" s="89"/>
      <c r="E296" s="89"/>
      <c r="F296" s="89"/>
      <c r="G296" s="89"/>
      <c r="H296" s="89"/>
      <c r="I296" s="90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</row>
    <row r="297" customFormat="false" ht="15.75" hidden="false" customHeight="true" outlineLevel="0" collapsed="false">
      <c r="A297" s="76"/>
      <c r="B297" s="76"/>
      <c r="C297" s="88"/>
      <c r="D297" s="89"/>
      <c r="E297" s="89"/>
      <c r="F297" s="89"/>
      <c r="G297" s="89"/>
      <c r="H297" s="89"/>
      <c r="I297" s="90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</row>
    <row r="298" customFormat="false" ht="15.75" hidden="false" customHeight="true" outlineLevel="0" collapsed="false">
      <c r="A298" s="76"/>
      <c r="B298" s="76"/>
      <c r="C298" s="88"/>
      <c r="D298" s="89"/>
      <c r="E298" s="89"/>
      <c r="F298" s="89"/>
      <c r="G298" s="89"/>
      <c r="H298" s="89"/>
      <c r="I298" s="90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</row>
    <row r="299" customFormat="false" ht="15.75" hidden="false" customHeight="true" outlineLevel="0" collapsed="false">
      <c r="A299" s="76"/>
      <c r="B299" s="76"/>
      <c r="C299" s="88"/>
      <c r="D299" s="89"/>
      <c r="E299" s="89"/>
      <c r="F299" s="89"/>
      <c r="G299" s="89"/>
      <c r="H299" s="89"/>
      <c r="I299" s="90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</row>
    <row r="300" customFormat="false" ht="15.75" hidden="false" customHeight="true" outlineLevel="0" collapsed="false">
      <c r="A300" s="76"/>
      <c r="B300" s="76"/>
      <c r="C300" s="88"/>
      <c r="D300" s="89"/>
      <c r="E300" s="89"/>
      <c r="F300" s="89"/>
      <c r="G300" s="89"/>
      <c r="H300" s="89"/>
      <c r="I300" s="90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</row>
    <row r="301" customFormat="false" ht="15.75" hidden="false" customHeight="true" outlineLevel="0" collapsed="false">
      <c r="A301" s="76"/>
      <c r="B301" s="76"/>
      <c r="C301" s="88"/>
      <c r="D301" s="89"/>
      <c r="E301" s="89"/>
      <c r="F301" s="89"/>
      <c r="G301" s="89"/>
      <c r="H301" s="89"/>
      <c r="I301" s="90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</row>
    <row r="302" customFormat="false" ht="15.75" hidden="false" customHeight="true" outlineLevel="0" collapsed="false">
      <c r="A302" s="76"/>
      <c r="B302" s="76"/>
      <c r="C302" s="88"/>
      <c r="D302" s="89"/>
      <c r="E302" s="89"/>
      <c r="F302" s="89"/>
      <c r="G302" s="89"/>
      <c r="H302" s="89"/>
      <c r="I302" s="90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</row>
    <row r="303" customFormat="false" ht="15.75" hidden="false" customHeight="true" outlineLevel="0" collapsed="false">
      <c r="A303" s="76"/>
      <c r="B303" s="76"/>
      <c r="C303" s="88"/>
      <c r="D303" s="89"/>
      <c r="E303" s="89"/>
      <c r="F303" s="89"/>
      <c r="G303" s="89"/>
      <c r="H303" s="89"/>
      <c r="I303" s="90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</row>
    <row r="304" customFormat="false" ht="15.75" hidden="false" customHeight="true" outlineLevel="0" collapsed="false">
      <c r="A304" s="76"/>
      <c r="B304" s="76"/>
      <c r="C304" s="88"/>
      <c r="D304" s="89"/>
      <c r="E304" s="89"/>
      <c r="F304" s="89"/>
      <c r="G304" s="89"/>
      <c r="H304" s="89"/>
      <c r="I304" s="90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</row>
    <row r="305" customFormat="false" ht="15.75" hidden="false" customHeight="true" outlineLevel="0" collapsed="false">
      <c r="A305" s="76"/>
      <c r="B305" s="76"/>
      <c r="C305" s="88"/>
      <c r="D305" s="89"/>
      <c r="E305" s="89"/>
      <c r="F305" s="89"/>
      <c r="G305" s="89"/>
      <c r="H305" s="89"/>
      <c r="I305" s="90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</row>
    <row r="306" customFormat="false" ht="15.75" hidden="false" customHeight="true" outlineLevel="0" collapsed="false">
      <c r="A306" s="76"/>
      <c r="B306" s="76"/>
      <c r="C306" s="88"/>
      <c r="D306" s="89"/>
      <c r="E306" s="89"/>
      <c r="F306" s="89"/>
      <c r="G306" s="89"/>
      <c r="H306" s="89"/>
      <c r="I306" s="90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</row>
    <row r="307" customFormat="false" ht="15.75" hidden="false" customHeight="true" outlineLevel="0" collapsed="false">
      <c r="A307" s="76"/>
      <c r="B307" s="76"/>
      <c r="C307" s="88"/>
      <c r="D307" s="89"/>
      <c r="E307" s="89"/>
      <c r="F307" s="89"/>
      <c r="G307" s="89"/>
      <c r="H307" s="89"/>
      <c r="I307" s="90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</row>
    <row r="308" customFormat="false" ht="15.75" hidden="false" customHeight="true" outlineLevel="0" collapsed="false">
      <c r="A308" s="76"/>
      <c r="B308" s="76"/>
      <c r="C308" s="88"/>
      <c r="D308" s="89"/>
      <c r="E308" s="89"/>
      <c r="F308" s="89"/>
      <c r="G308" s="89"/>
      <c r="H308" s="89"/>
      <c r="I308" s="90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</row>
    <row r="309" customFormat="false" ht="15.75" hidden="false" customHeight="true" outlineLevel="0" collapsed="false">
      <c r="A309" s="76"/>
      <c r="B309" s="76"/>
      <c r="C309" s="88"/>
      <c r="D309" s="89"/>
      <c r="E309" s="89"/>
      <c r="F309" s="89"/>
      <c r="G309" s="89"/>
      <c r="H309" s="89"/>
      <c r="I309" s="90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</row>
    <row r="310" customFormat="false" ht="15.75" hidden="false" customHeight="true" outlineLevel="0" collapsed="false">
      <c r="A310" s="76"/>
      <c r="B310" s="76"/>
      <c r="C310" s="88"/>
      <c r="D310" s="89"/>
      <c r="E310" s="89"/>
      <c r="F310" s="89"/>
      <c r="G310" s="89"/>
      <c r="H310" s="89"/>
      <c r="I310" s="90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</row>
    <row r="311" customFormat="false" ht="15.75" hidden="false" customHeight="true" outlineLevel="0" collapsed="false">
      <c r="A311" s="76"/>
      <c r="B311" s="76"/>
      <c r="C311" s="88"/>
      <c r="D311" s="89"/>
      <c r="E311" s="89"/>
      <c r="F311" s="89"/>
      <c r="G311" s="89"/>
      <c r="H311" s="89"/>
      <c r="I311" s="90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</row>
    <row r="312" customFormat="false" ht="15.75" hidden="false" customHeight="true" outlineLevel="0" collapsed="false">
      <c r="A312" s="76"/>
      <c r="B312" s="76"/>
      <c r="C312" s="88"/>
      <c r="D312" s="89"/>
      <c r="E312" s="89"/>
      <c r="F312" s="89"/>
      <c r="G312" s="89"/>
      <c r="H312" s="89"/>
      <c r="I312" s="90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</row>
    <row r="313" customFormat="false" ht="15.75" hidden="false" customHeight="true" outlineLevel="0" collapsed="false">
      <c r="A313" s="76"/>
      <c r="B313" s="76"/>
      <c r="C313" s="88"/>
      <c r="D313" s="89"/>
      <c r="E313" s="89"/>
      <c r="F313" s="89"/>
      <c r="G313" s="89"/>
      <c r="H313" s="89"/>
      <c r="I313" s="90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</row>
    <row r="314" customFormat="false" ht="15.75" hidden="false" customHeight="true" outlineLevel="0" collapsed="false">
      <c r="A314" s="76"/>
      <c r="B314" s="76"/>
      <c r="C314" s="88"/>
      <c r="D314" s="89"/>
      <c r="E314" s="89"/>
      <c r="F314" s="89"/>
      <c r="G314" s="89"/>
      <c r="H314" s="89"/>
      <c r="I314" s="90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</row>
    <row r="315" customFormat="false" ht="15.75" hidden="false" customHeight="true" outlineLevel="0" collapsed="false">
      <c r="A315" s="76"/>
      <c r="B315" s="76"/>
      <c r="C315" s="88"/>
      <c r="D315" s="89"/>
      <c r="E315" s="89"/>
      <c r="F315" s="89"/>
      <c r="G315" s="89"/>
      <c r="H315" s="89"/>
      <c r="I315" s="90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</row>
    <row r="316" customFormat="false" ht="15.75" hidden="false" customHeight="true" outlineLevel="0" collapsed="false">
      <c r="A316" s="76"/>
      <c r="B316" s="76"/>
      <c r="C316" s="88"/>
      <c r="D316" s="89"/>
      <c r="E316" s="89"/>
      <c r="F316" s="89"/>
      <c r="G316" s="89"/>
      <c r="H316" s="89"/>
      <c r="I316" s="90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</row>
    <row r="317" customFormat="false" ht="15.75" hidden="false" customHeight="true" outlineLevel="0" collapsed="false">
      <c r="A317" s="76"/>
      <c r="B317" s="76"/>
      <c r="C317" s="88"/>
      <c r="D317" s="89"/>
      <c r="E317" s="89"/>
      <c r="F317" s="89"/>
      <c r="G317" s="89"/>
      <c r="H317" s="89"/>
      <c r="I317" s="90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</row>
    <row r="318" customFormat="false" ht="15.75" hidden="false" customHeight="true" outlineLevel="0" collapsed="false">
      <c r="A318" s="76"/>
      <c r="B318" s="76"/>
      <c r="C318" s="88"/>
      <c r="D318" s="89"/>
      <c r="E318" s="89"/>
      <c r="F318" s="89"/>
      <c r="G318" s="89"/>
      <c r="H318" s="89"/>
      <c r="I318" s="90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</row>
    <row r="319" customFormat="false" ht="15.75" hidden="false" customHeight="true" outlineLevel="0" collapsed="false">
      <c r="A319" s="76"/>
      <c r="B319" s="76"/>
      <c r="C319" s="88"/>
      <c r="D319" s="89"/>
      <c r="E319" s="89"/>
      <c r="F319" s="89"/>
      <c r="G319" s="89"/>
      <c r="H319" s="89"/>
      <c r="I319" s="90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</row>
    <row r="320" customFormat="false" ht="15.75" hidden="false" customHeight="true" outlineLevel="0" collapsed="false">
      <c r="A320" s="76"/>
      <c r="B320" s="76"/>
      <c r="C320" s="88"/>
      <c r="D320" s="89"/>
      <c r="E320" s="89"/>
      <c r="F320" s="89"/>
      <c r="G320" s="89"/>
      <c r="H320" s="89"/>
      <c r="I320" s="90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</row>
    <row r="321" customFormat="false" ht="15.75" hidden="false" customHeight="true" outlineLevel="0" collapsed="false">
      <c r="A321" s="76"/>
      <c r="B321" s="76"/>
      <c r="C321" s="88"/>
      <c r="D321" s="89"/>
      <c r="E321" s="89"/>
      <c r="F321" s="89"/>
      <c r="G321" s="89"/>
      <c r="H321" s="89"/>
      <c r="I321" s="90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</row>
    <row r="322" customFormat="false" ht="15.75" hidden="false" customHeight="true" outlineLevel="0" collapsed="false">
      <c r="A322" s="76"/>
      <c r="B322" s="76"/>
      <c r="C322" s="88"/>
      <c r="D322" s="89"/>
      <c r="E322" s="89"/>
      <c r="F322" s="89"/>
      <c r="G322" s="89"/>
      <c r="H322" s="89"/>
      <c r="I322" s="90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</row>
    <row r="323" customFormat="false" ht="15.75" hidden="false" customHeight="true" outlineLevel="0" collapsed="false">
      <c r="A323" s="76"/>
      <c r="B323" s="76"/>
      <c r="C323" s="88"/>
      <c r="D323" s="89"/>
      <c r="E323" s="89"/>
      <c r="F323" s="89"/>
      <c r="G323" s="89"/>
      <c r="H323" s="89"/>
      <c r="I323" s="90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</row>
    <row r="324" customFormat="false" ht="15.75" hidden="false" customHeight="true" outlineLevel="0" collapsed="false">
      <c r="A324" s="76"/>
      <c r="B324" s="76"/>
      <c r="C324" s="88"/>
      <c r="D324" s="89"/>
      <c r="E324" s="89"/>
      <c r="F324" s="89"/>
      <c r="G324" s="89"/>
      <c r="H324" s="89"/>
      <c r="I324" s="90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</row>
    <row r="325" customFormat="false" ht="15.75" hidden="false" customHeight="true" outlineLevel="0" collapsed="false">
      <c r="A325" s="76"/>
      <c r="B325" s="76"/>
      <c r="C325" s="88"/>
      <c r="D325" s="89"/>
      <c r="E325" s="89"/>
      <c r="F325" s="89"/>
      <c r="G325" s="89"/>
      <c r="H325" s="89"/>
      <c r="I325" s="90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</row>
    <row r="326" customFormat="false" ht="15.75" hidden="false" customHeight="true" outlineLevel="0" collapsed="false">
      <c r="A326" s="76"/>
      <c r="B326" s="76"/>
      <c r="C326" s="88"/>
      <c r="D326" s="89"/>
      <c r="E326" s="89"/>
      <c r="F326" s="89"/>
      <c r="G326" s="89"/>
      <c r="H326" s="89"/>
      <c r="I326" s="90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</row>
    <row r="327" customFormat="false" ht="15.75" hidden="false" customHeight="true" outlineLevel="0" collapsed="false">
      <c r="A327" s="76"/>
      <c r="B327" s="76"/>
      <c r="C327" s="88"/>
      <c r="D327" s="89"/>
      <c r="E327" s="89"/>
      <c r="F327" s="89"/>
      <c r="G327" s="89"/>
      <c r="H327" s="89"/>
      <c r="I327" s="90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</row>
    <row r="328" customFormat="false" ht="15.75" hidden="false" customHeight="true" outlineLevel="0" collapsed="false">
      <c r="A328" s="76"/>
      <c r="B328" s="76"/>
      <c r="C328" s="88"/>
      <c r="D328" s="89"/>
      <c r="E328" s="89"/>
      <c r="F328" s="89"/>
      <c r="G328" s="89"/>
      <c r="H328" s="89"/>
      <c r="I328" s="90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</row>
    <row r="329" customFormat="false" ht="15.75" hidden="false" customHeight="true" outlineLevel="0" collapsed="false">
      <c r="A329" s="76"/>
      <c r="B329" s="76"/>
      <c r="C329" s="88"/>
      <c r="D329" s="89"/>
      <c r="E329" s="89"/>
      <c r="F329" s="89"/>
      <c r="G329" s="89"/>
      <c r="H329" s="89"/>
      <c r="I329" s="90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</row>
    <row r="330" customFormat="false" ht="15.75" hidden="false" customHeight="true" outlineLevel="0" collapsed="false">
      <c r="A330" s="76"/>
      <c r="B330" s="76"/>
      <c r="C330" s="88"/>
      <c r="D330" s="89"/>
      <c r="E330" s="89"/>
      <c r="F330" s="89"/>
      <c r="G330" s="89"/>
      <c r="H330" s="89"/>
      <c r="I330" s="90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</row>
    <row r="331" customFormat="false" ht="15.75" hidden="false" customHeight="true" outlineLevel="0" collapsed="false">
      <c r="A331" s="76"/>
      <c r="B331" s="76"/>
      <c r="C331" s="88"/>
      <c r="D331" s="89"/>
      <c r="E331" s="89"/>
      <c r="F331" s="89"/>
      <c r="G331" s="89"/>
      <c r="H331" s="89"/>
      <c r="I331" s="90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</row>
    <row r="332" customFormat="false" ht="15.75" hidden="false" customHeight="true" outlineLevel="0" collapsed="false">
      <c r="A332" s="76"/>
      <c r="B332" s="76"/>
      <c r="C332" s="88"/>
      <c r="D332" s="89"/>
      <c r="E332" s="89"/>
      <c r="F332" s="89"/>
      <c r="G332" s="89"/>
      <c r="H332" s="89"/>
      <c r="I332" s="90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</row>
    <row r="333" customFormat="false" ht="15.75" hidden="false" customHeight="true" outlineLevel="0" collapsed="false">
      <c r="A333" s="76"/>
      <c r="B333" s="76"/>
      <c r="C333" s="88"/>
      <c r="D333" s="89"/>
      <c r="E333" s="89"/>
      <c r="F333" s="89"/>
      <c r="G333" s="89"/>
      <c r="H333" s="89"/>
      <c r="I333" s="90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</row>
    <row r="334" customFormat="false" ht="15.75" hidden="false" customHeight="true" outlineLevel="0" collapsed="false">
      <c r="A334" s="76"/>
      <c r="B334" s="76"/>
      <c r="C334" s="88"/>
      <c r="D334" s="89"/>
      <c r="E334" s="89"/>
      <c r="F334" s="89"/>
      <c r="G334" s="89"/>
      <c r="H334" s="89"/>
      <c r="I334" s="90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</row>
    <row r="335" customFormat="false" ht="15.75" hidden="false" customHeight="true" outlineLevel="0" collapsed="false">
      <c r="A335" s="76"/>
      <c r="B335" s="76"/>
      <c r="C335" s="88"/>
      <c r="D335" s="89"/>
      <c r="E335" s="89"/>
      <c r="F335" s="89"/>
      <c r="G335" s="89"/>
      <c r="H335" s="89"/>
      <c r="I335" s="90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</row>
    <row r="336" customFormat="false" ht="15.75" hidden="false" customHeight="true" outlineLevel="0" collapsed="false">
      <c r="A336" s="76"/>
      <c r="B336" s="76"/>
      <c r="C336" s="88"/>
      <c r="D336" s="89"/>
      <c r="E336" s="89"/>
      <c r="F336" s="89"/>
      <c r="G336" s="89"/>
      <c r="H336" s="89"/>
      <c r="I336" s="90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</row>
    <row r="337" customFormat="false" ht="15.75" hidden="false" customHeight="true" outlineLevel="0" collapsed="false">
      <c r="A337" s="76"/>
      <c r="B337" s="76"/>
      <c r="C337" s="88"/>
      <c r="D337" s="89"/>
      <c r="E337" s="89"/>
      <c r="F337" s="89"/>
      <c r="G337" s="89"/>
      <c r="H337" s="89"/>
      <c r="I337" s="90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</row>
    <row r="338" customFormat="false" ht="15.75" hidden="false" customHeight="true" outlineLevel="0" collapsed="false">
      <c r="A338" s="76"/>
      <c r="B338" s="76"/>
      <c r="C338" s="88"/>
      <c r="D338" s="89"/>
      <c r="E338" s="89"/>
      <c r="F338" s="89"/>
      <c r="G338" s="89"/>
      <c r="H338" s="89"/>
      <c r="I338" s="90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</row>
    <row r="339" customFormat="false" ht="15.75" hidden="false" customHeight="true" outlineLevel="0" collapsed="false">
      <c r="A339" s="76"/>
      <c r="B339" s="76"/>
      <c r="C339" s="88"/>
      <c r="D339" s="89"/>
      <c r="E339" s="89"/>
      <c r="F339" s="89"/>
      <c r="G339" s="89"/>
      <c r="H339" s="89"/>
      <c r="I339" s="90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</row>
    <row r="340" customFormat="false" ht="15.75" hidden="false" customHeight="true" outlineLevel="0" collapsed="false">
      <c r="A340" s="76"/>
      <c r="B340" s="76"/>
      <c r="C340" s="88"/>
      <c r="D340" s="89"/>
      <c r="E340" s="89"/>
      <c r="F340" s="89"/>
      <c r="G340" s="89"/>
      <c r="H340" s="89"/>
      <c r="I340" s="90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</row>
    <row r="341" customFormat="false" ht="15.75" hidden="false" customHeight="true" outlineLevel="0" collapsed="false">
      <c r="A341" s="76"/>
      <c r="B341" s="76"/>
      <c r="C341" s="88"/>
      <c r="D341" s="89"/>
      <c r="E341" s="89"/>
      <c r="F341" s="89"/>
      <c r="G341" s="89"/>
      <c r="H341" s="89"/>
      <c r="I341" s="90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</row>
    <row r="342" customFormat="false" ht="15.75" hidden="false" customHeight="true" outlineLevel="0" collapsed="false">
      <c r="A342" s="76"/>
      <c r="B342" s="76"/>
      <c r="C342" s="88"/>
      <c r="D342" s="89"/>
      <c r="E342" s="89"/>
      <c r="F342" s="89"/>
      <c r="G342" s="89"/>
      <c r="H342" s="89"/>
      <c r="I342" s="90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</row>
    <row r="343" customFormat="false" ht="15.75" hidden="false" customHeight="true" outlineLevel="0" collapsed="false">
      <c r="A343" s="76"/>
      <c r="B343" s="76"/>
      <c r="C343" s="88"/>
      <c r="D343" s="89"/>
      <c r="E343" s="89"/>
      <c r="F343" s="89"/>
      <c r="G343" s="89"/>
      <c r="H343" s="89"/>
      <c r="I343" s="90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</row>
    <row r="344" customFormat="false" ht="15.75" hidden="false" customHeight="true" outlineLevel="0" collapsed="false">
      <c r="A344" s="76"/>
      <c r="B344" s="76"/>
      <c r="C344" s="88"/>
      <c r="D344" s="89"/>
      <c r="E344" s="89"/>
      <c r="F344" s="89"/>
      <c r="G344" s="89"/>
      <c r="H344" s="89"/>
      <c r="I344" s="90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</row>
    <row r="345" customFormat="false" ht="15.75" hidden="false" customHeight="true" outlineLevel="0" collapsed="false">
      <c r="A345" s="76"/>
      <c r="B345" s="76"/>
      <c r="C345" s="88"/>
      <c r="D345" s="89"/>
      <c r="E345" s="89"/>
      <c r="F345" s="89"/>
      <c r="G345" s="89"/>
      <c r="H345" s="89"/>
      <c r="I345" s="90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</row>
    <row r="346" customFormat="false" ht="15.75" hidden="false" customHeight="true" outlineLevel="0" collapsed="false">
      <c r="A346" s="76"/>
      <c r="B346" s="76"/>
      <c r="C346" s="88"/>
      <c r="D346" s="89"/>
      <c r="E346" s="89"/>
      <c r="F346" s="89"/>
      <c r="G346" s="89"/>
      <c r="H346" s="89"/>
      <c r="I346" s="90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</row>
    <row r="347" customFormat="false" ht="15.75" hidden="false" customHeight="true" outlineLevel="0" collapsed="false">
      <c r="A347" s="76"/>
      <c r="B347" s="76"/>
      <c r="C347" s="88"/>
      <c r="D347" s="89"/>
      <c r="E347" s="89"/>
      <c r="F347" s="89"/>
      <c r="G347" s="89"/>
      <c r="H347" s="89"/>
      <c r="I347" s="90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</row>
    <row r="348" customFormat="false" ht="15.75" hidden="false" customHeight="true" outlineLevel="0" collapsed="false">
      <c r="A348" s="76"/>
      <c r="B348" s="76"/>
      <c r="C348" s="88"/>
      <c r="D348" s="89"/>
      <c r="E348" s="89"/>
      <c r="F348" s="89"/>
      <c r="G348" s="89"/>
      <c r="H348" s="89"/>
      <c r="I348" s="90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</row>
    <row r="349" customFormat="false" ht="15.75" hidden="false" customHeight="true" outlineLevel="0" collapsed="false">
      <c r="A349" s="76"/>
      <c r="B349" s="76"/>
      <c r="C349" s="88"/>
      <c r="D349" s="89"/>
      <c r="E349" s="89"/>
      <c r="F349" s="89"/>
      <c r="G349" s="89"/>
      <c r="H349" s="89"/>
      <c r="I349" s="90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</row>
    <row r="350" customFormat="false" ht="15.75" hidden="false" customHeight="true" outlineLevel="0" collapsed="false">
      <c r="A350" s="76"/>
      <c r="B350" s="76"/>
      <c r="C350" s="88"/>
      <c r="D350" s="89"/>
      <c r="E350" s="89"/>
      <c r="F350" s="89"/>
      <c r="G350" s="89"/>
      <c r="H350" s="89"/>
      <c r="I350" s="90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</row>
    <row r="351" customFormat="false" ht="15.75" hidden="false" customHeight="true" outlineLevel="0" collapsed="false">
      <c r="A351" s="76"/>
      <c r="B351" s="76"/>
      <c r="C351" s="88"/>
      <c r="D351" s="89"/>
      <c r="E351" s="89"/>
      <c r="F351" s="89"/>
      <c r="G351" s="89"/>
      <c r="H351" s="89"/>
      <c r="I351" s="90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</row>
    <row r="352" customFormat="false" ht="15.75" hidden="false" customHeight="true" outlineLevel="0" collapsed="false">
      <c r="A352" s="76"/>
      <c r="B352" s="76"/>
      <c r="C352" s="88"/>
      <c r="D352" s="89"/>
      <c r="E352" s="89"/>
      <c r="F352" s="89"/>
      <c r="G352" s="89"/>
      <c r="H352" s="89"/>
      <c r="I352" s="90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</row>
    <row r="353" customFormat="false" ht="15.75" hidden="false" customHeight="true" outlineLevel="0" collapsed="false">
      <c r="A353" s="76"/>
      <c r="B353" s="76"/>
      <c r="C353" s="88"/>
      <c r="D353" s="89"/>
      <c r="E353" s="89"/>
      <c r="F353" s="89"/>
      <c r="G353" s="89"/>
      <c r="H353" s="89"/>
      <c r="I353" s="90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</row>
    <row r="354" customFormat="false" ht="15.75" hidden="false" customHeight="true" outlineLevel="0" collapsed="false">
      <c r="A354" s="76"/>
      <c r="B354" s="76"/>
      <c r="C354" s="88"/>
      <c r="D354" s="89"/>
      <c r="E354" s="89"/>
      <c r="F354" s="89"/>
      <c r="G354" s="89"/>
      <c r="H354" s="89"/>
      <c r="I354" s="90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</row>
    <row r="355" customFormat="false" ht="15.75" hidden="false" customHeight="true" outlineLevel="0" collapsed="false">
      <c r="A355" s="76"/>
      <c r="B355" s="76"/>
      <c r="C355" s="88"/>
      <c r="D355" s="89"/>
      <c r="E355" s="89"/>
      <c r="F355" s="89"/>
      <c r="G355" s="89"/>
      <c r="H355" s="89"/>
      <c r="I355" s="90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</row>
    <row r="356" customFormat="false" ht="15.75" hidden="false" customHeight="true" outlineLevel="0" collapsed="false">
      <c r="A356" s="76"/>
      <c r="B356" s="76"/>
      <c r="C356" s="88"/>
      <c r="D356" s="89"/>
      <c r="E356" s="89"/>
      <c r="F356" s="89"/>
      <c r="G356" s="89"/>
      <c r="H356" s="89"/>
      <c r="I356" s="90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</row>
    <row r="357" customFormat="false" ht="15.75" hidden="false" customHeight="true" outlineLevel="0" collapsed="false">
      <c r="A357" s="76"/>
      <c r="B357" s="76"/>
      <c r="C357" s="88"/>
      <c r="D357" s="89"/>
      <c r="E357" s="89"/>
      <c r="F357" s="89"/>
      <c r="G357" s="89"/>
      <c r="H357" s="89"/>
      <c r="I357" s="90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</row>
    <row r="358" customFormat="false" ht="15.75" hidden="false" customHeight="true" outlineLevel="0" collapsed="false">
      <c r="A358" s="76"/>
      <c r="B358" s="76"/>
      <c r="C358" s="88"/>
      <c r="D358" s="89"/>
      <c r="E358" s="89"/>
      <c r="F358" s="89"/>
      <c r="G358" s="89"/>
      <c r="H358" s="89"/>
      <c r="I358" s="90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</row>
    <row r="359" customFormat="false" ht="15.75" hidden="false" customHeight="true" outlineLevel="0" collapsed="false">
      <c r="A359" s="76"/>
      <c r="B359" s="76"/>
      <c r="C359" s="88"/>
      <c r="D359" s="89"/>
      <c r="E359" s="89"/>
      <c r="F359" s="89"/>
      <c r="G359" s="89"/>
      <c r="H359" s="89"/>
      <c r="I359" s="90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</row>
    <row r="360" customFormat="false" ht="15.75" hidden="false" customHeight="true" outlineLevel="0" collapsed="false">
      <c r="A360" s="76"/>
      <c r="B360" s="76"/>
      <c r="C360" s="88"/>
      <c r="D360" s="89"/>
      <c r="E360" s="89"/>
      <c r="F360" s="89"/>
      <c r="G360" s="89"/>
      <c r="H360" s="89"/>
      <c r="I360" s="90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</row>
    <row r="361" customFormat="false" ht="15.75" hidden="false" customHeight="true" outlineLevel="0" collapsed="false">
      <c r="A361" s="76"/>
      <c r="B361" s="76"/>
      <c r="C361" s="88"/>
      <c r="D361" s="89"/>
      <c r="E361" s="89"/>
      <c r="F361" s="89"/>
      <c r="G361" s="89"/>
      <c r="H361" s="89"/>
      <c r="I361" s="90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</row>
    <row r="362" customFormat="false" ht="15.75" hidden="false" customHeight="true" outlineLevel="0" collapsed="false">
      <c r="A362" s="76"/>
      <c r="B362" s="76"/>
      <c r="C362" s="88"/>
      <c r="D362" s="89"/>
      <c r="E362" s="89"/>
      <c r="F362" s="89"/>
      <c r="G362" s="89"/>
      <c r="H362" s="89"/>
      <c r="I362" s="90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</row>
    <row r="363" customFormat="false" ht="15.75" hidden="false" customHeight="true" outlineLevel="0" collapsed="false">
      <c r="A363" s="76"/>
      <c r="B363" s="76"/>
      <c r="C363" s="88"/>
      <c r="D363" s="89"/>
      <c r="E363" s="89"/>
      <c r="F363" s="89"/>
      <c r="G363" s="89"/>
      <c r="H363" s="89"/>
      <c r="I363" s="90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</row>
    <row r="364" customFormat="false" ht="15.75" hidden="false" customHeight="true" outlineLevel="0" collapsed="false">
      <c r="A364" s="76"/>
      <c r="B364" s="76"/>
      <c r="C364" s="88"/>
      <c r="D364" s="89"/>
      <c r="E364" s="89"/>
      <c r="F364" s="89"/>
      <c r="G364" s="89"/>
      <c r="H364" s="89"/>
      <c r="I364" s="90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</row>
    <row r="365" customFormat="false" ht="15.75" hidden="false" customHeight="true" outlineLevel="0" collapsed="false">
      <c r="A365" s="76"/>
      <c r="B365" s="76"/>
      <c r="C365" s="88"/>
      <c r="D365" s="89"/>
      <c r="E365" s="89"/>
      <c r="F365" s="89"/>
      <c r="G365" s="89"/>
      <c r="H365" s="89"/>
      <c r="I365" s="90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</row>
    <row r="366" customFormat="false" ht="15.75" hidden="false" customHeight="true" outlineLevel="0" collapsed="false">
      <c r="A366" s="76"/>
      <c r="B366" s="76"/>
      <c r="C366" s="88"/>
      <c r="D366" s="89"/>
      <c r="E366" s="89"/>
      <c r="F366" s="89"/>
      <c r="G366" s="89"/>
      <c r="H366" s="89"/>
      <c r="I366" s="90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</row>
    <row r="367" customFormat="false" ht="15.75" hidden="false" customHeight="true" outlineLevel="0" collapsed="false">
      <c r="A367" s="76"/>
      <c r="B367" s="76"/>
      <c r="C367" s="88"/>
      <c r="D367" s="89"/>
      <c r="E367" s="89"/>
      <c r="F367" s="89"/>
      <c r="G367" s="89"/>
      <c r="H367" s="89"/>
      <c r="I367" s="90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</row>
    <row r="368" customFormat="false" ht="15.75" hidden="false" customHeight="true" outlineLevel="0" collapsed="false">
      <c r="A368" s="76"/>
      <c r="B368" s="76"/>
      <c r="C368" s="88"/>
      <c r="D368" s="89"/>
      <c r="E368" s="89"/>
      <c r="F368" s="89"/>
      <c r="G368" s="89"/>
      <c r="H368" s="89"/>
      <c r="I368" s="90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</row>
    <row r="369" customFormat="false" ht="15.75" hidden="false" customHeight="true" outlineLevel="0" collapsed="false">
      <c r="A369" s="76"/>
      <c r="B369" s="76"/>
      <c r="C369" s="88"/>
      <c r="D369" s="89"/>
      <c r="E369" s="89"/>
      <c r="F369" s="89"/>
      <c r="G369" s="89"/>
      <c r="H369" s="89"/>
      <c r="I369" s="90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</row>
    <row r="370" customFormat="false" ht="15.75" hidden="false" customHeight="true" outlineLevel="0" collapsed="false">
      <c r="A370" s="76"/>
      <c r="B370" s="76"/>
      <c r="C370" s="88"/>
      <c r="D370" s="89"/>
      <c r="E370" s="89"/>
      <c r="F370" s="89"/>
      <c r="G370" s="89"/>
      <c r="H370" s="89"/>
      <c r="I370" s="90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89"/>
    </row>
    <row r="371" customFormat="false" ht="15.75" hidden="false" customHeight="true" outlineLevel="0" collapsed="false">
      <c r="A371" s="76"/>
      <c r="B371" s="76"/>
      <c r="C371" s="88"/>
      <c r="D371" s="89"/>
      <c r="E371" s="89"/>
      <c r="F371" s="89"/>
      <c r="G371" s="89"/>
      <c r="H371" s="89"/>
      <c r="I371" s="90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</row>
    <row r="372" customFormat="false" ht="15.75" hidden="false" customHeight="true" outlineLevel="0" collapsed="false">
      <c r="A372" s="76"/>
      <c r="B372" s="76"/>
      <c r="C372" s="88"/>
      <c r="D372" s="89"/>
      <c r="E372" s="89"/>
      <c r="F372" s="89"/>
      <c r="G372" s="89"/>
      <c r="H372" s="89"/>
      <c r="I372" s="90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</row>
    <row r="373" customFormat="false" ht="15.75" hidden="false" customHeight="true" outlineLevel="0" collapsed="false">
      <c r="A373" s="76"/>
      <c r="B373" s="76"/>
      <c r="C373" s="88"/>
      <c r="D373" s="89"/>
      <c r="E373" s="89"/>
      <c r="F373" s="89"/>
      <c r="G373" s="89"/>
      <c r="H373" s="89"/>
      <c r="I373" s="90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</row>
    <row r="374" customFormat="false" ht="15.75" hidden="false" customHeight="true" outlineLevel="0" collapsed="false">
      <c r="A374" s="76"/>
      <c r="B374" s="76"/>
      <c r="C374" s="88"/>
      <c r="D374" s="89"/>
      <c r="E374" s="89"/>
      <c r="F374" s="89"/>
      <c r="G374" s="89"/>
      <c r="H374" s="89"/>
      <c r="I374" s="90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</row>
    <row r="375" customFormat="false" ht="15.75" hidden="false" customHeight="true" outlineLevel="0" collapsed="false">
      <c r="A375" s="76"/>
      <c r="B375" s="76"/>
      <c r="C375" s="88"/>
      <c r="D375" s="89"/>
      <c r="E375" s="89"/>
      <c r="F375" s="89"/>
      <c r="G375" s="89"/>
      <c r="H375" s="89"/>
      <c r="I375" s="90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</row>
    <row r="376" customFormat="false" ht="15.75" hidden="false" customHeight="true" outlineLevel="0" collapsed="false">
      <c r="A376" s="76"/>
      <c r="B376" s="76"/>
      <c r="C376" s="88"/>
      <c r="D376" s="89"/>
      <c r="E376" s="89"/>
      <c r="F376" s="89"/>
      <c r="G376" s="89"/>
      <c r="H376" s="89"/>
      <c r="I376" s="90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</row>
    <row r="377" customFormat="false" ht="15.75" hidden="false" customHeight="true" outlineLevel="0" collapsed="false">
      <c r="A377" s="76"/>
      <c r="B377" s="76"/>
      <c r="C377" s="88"/>
      <c r="D377" s="89"/>
      <c r="E377" s="89"/>
      <c r="F377" s="89"/>
      <c r="G377" s="89"/>
      <c r="H377" s="89"/>
      <c r="I377" s="90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</row>
    <row r="378" customFormat="false" ht="15.75" hidden="false" customHeight="true" outlineLevel="0" collapsed="false">
      <c r="A378" s="76"/>
      <c r="B378" s="76"/>
      <c r="C378" s="88"/>
      <c r="D378" s="89"/>
      <c r="E378" s="89"/>
      <c r="F378" s="89"/>
      <c r="G378" s="89"/>
      <c r="H378" s="89"/>
      <c r="I378" s="90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89"/>
    </row>
    <row r="379" customFormat="false" ht="15.75" hidden="false" customHeight="true" outlineLevel="0" collapsed="false">
      <c r="A379" s="76"/>
      <c r="B379" s="76"/>
      <c r="C379" s="88"/>
      <c r="D379" s="89"/>
      <c r="E379" s="89"/>
      <c r="F379" s="89"/>
      <c r="G379" s="89"/>
      <c r="H379" s="89"/>
      <c r="I379" s="90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</row>
    <row r="380" customFormat="false" ht="15.75" hidden="false" customHeight="true" outlineLevel="0" collapsed="false">
      <c r="A380" s="76"/>
      <c r="B380" s="76"/>
      <c r="C380" s="88"/>
      <c r="D380" s="89"/>
      <c r="E380" s="89"/>
      <c r="F380" s="89"/>
      <c r="G380" s="89"/>
      <c r="H380" s="89"/>
      <c r="I380" s="90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</row>
    <row r="381" customFormat="false" ht="15.75" hidden="false" customHeight="true" outlineLevel="0" collapsed="false">
      <c r="A381" s="76"/>
      <c r="B381" s="76"/>
      <c r="C381" s="88"/>
      <c r="D381" s="89"/>
      <c r="E381" s="89"/>
      <c r="F381" s="89"/>
      <c r="G381" s="89"/>
      <c r="H381" s="89"/>
      <c r="I381" s="90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</row>
    <row r="382" customFormat="false" ht="15.75" hidden="false" customHeight="true" outlineLevel="0" collapsed="false">
      <c r="A382" s="76"/>
      <c r="B382" s="76"/>
      <c r="C382" s="88"/>
      <c r="D382" s="89"/>
      <c r="E382" s="89"/>
      <c r="F382" s="89"/>
      <c r="G382" s="89"/>
      <c r="H382" s="89"/>
      <c r="I382" s="90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</row>
    <row r="383" customFormat="false" ht="15.75" hidden="false" customHeight="true" outlineLevel="0" collapsed="false">
      <c r="A383" s="76"/>
      <c r="B383" s="76"/>
      <c r="C383" s="88"/>
      <c r="D383" s="89"/>
      <c r="E383" s="89"/>
      <c r="F383" s="89"/>
      <c r="G383" s="89"/>
      <c r="H383" s="89"/>
      <c r="I383" s="90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</row>
    <row r="384" customFormat="false" ht="15.75" hidden="false" customHeight="true" outlineLevel="0" collapsed="false">
      <c r="A384" s="76"/>
      <c r="B384" s="76"/>
      <c r="C384" s="88"/>
      <c r="D384" s="89"/>
      <c r="E384" s="89"/>
      <c r="F384" s="89"/>
      <c r="G384" s="89"/>
      <c r="H384" s="89"/>
      <c r="I384" s="90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</row>
    <row r="385" customFormat="false" ht="15.75" hidden="false" customHeight="true" outlineLevel="0" collapsed="false">
      <c r="A385" s="76"/>
      <c r="B385" s="76"/>
      <c r="C385" s="88"/>
      <c r="D385" s="89"/>
      <c r="E385" s="89"/>
      <c r="F385" s="89"/>
      <c r="G385" s="89"/>
      <c r="H385" s="89"/>
      <c r="I385" s="90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</row>
    <row r="386" customFormat="false" ht="15.75" hidden="false" customHeight="true" outlineLevel="0" collapsed="false">
      <c r="A386" s="76"/>
      <c r="B386" s="76"/>
      <c r="C386" s="88"/>
      <c r="D386" s="89"/>
      <c r="E386" s="89"/>
      <c r="F386" s="89"/>
      <c r="G386" s="89"/>
      <c r="H386" s="89"/>
      <c r="I386" s="90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</row>
    <row r="387" customFormat="false" ht="15.75" hidden="false" customHeight="true" outlineLevel="0" collapsed="false">
      <c r="A387" s="76"/>
      <c r="B387" s="76"/>
      <c r="C387" s="88"/>
      <c r="D387" s="89"/>
      <c r="E387" s="89"/>
      <c r="F387" s="89"/>
      <c r="G387" s="89"/>
      <c r="H387" s="89"/>
      <c r="I387" s="90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</row>
    <row r="388" customFormat="false" ht="15.75" hidden="false" customHeight="true" outlineLevel="0" collapsed="false">
      <c r="A388" s="76"/>
      <c r="B388" s="76"/>
      <c r="C388" s="88"/>
      <c r="D388" s="89"/>
      <c r="E388" s="89"/>
      <c r="F388" s="89"/>
      <c r="G388" s="89"/>
      <c r="H388" s="89"/>
      <c r="I388" s="90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</row>
    <row r="389" customFormat="false" ht="15.75" hidden="false" customHeight="true" outlineLevel="0" collapsed="false">
      <c r="A389" s="76"/>
      <c r="B389" s="76"/>
      <c r="C389" s="88"/>
      <c r="D389" s="89"/>
      <c r="E389" s="89"/>
      <c r="F389" s="89"/>
      <c r="G389" s="89"/>
      <c r="H389" s="89"/>
      <c r="I389" s="90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</row>
    <row r="390" customFormat="false" ht="15.75" hidden="false" customHeight="true" outlineLevel="0" collapsed="false">
      <c r="A390" s="76"/>
      <c r="B390" s="76"/>
      <c r="C390" s="88"/>
      <c r="D390" s="89"/>
      <c r="E390" s="89"/>
      <c r="F390" s="89"/>
      <c r="G390" s="89"/>
      <c r="H390" s="89"/>
      <c r="I390" s="90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</row>
    <row r="391" customFormat="false" ht="15.75" hidden="false" customHeight="true" outlineLevel="0" collapsed="false">
      <c r="A391" s="76"/>
      <c r="B391" s="76"/>
      <c r="C391" s="88"/>
      <c r="D391" s="89"/>
      <c r="E391" s="89"/>
      <c r="F391" s="89"/>
      <c r="G391" s="89"/>
      <c r="H391" s="89"/>
      <c r="I391" s="90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</row>
    <row r="392" customFormat="false" ht="15.75" hidden="false" customHeight="true" outlineLevel="0" collapsed="false">
      <c r="A392" s="76"/>
      <c r="B392" s="76"/>
      <c r="C392" s="88"/>
      <c r="D392" s="89"/>
      <c r="E392" s="89"/>
      <c r="F392" s="89"/>
      <c r="G392" s="89"/>
      <c r="H392" s="89"/>
      <c r="I392" s="90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89"/>
    </row>
    <row r="393" customFormat="false" ht="15.75" hidden="false" customHeight="true" outlineLevel="0" collapsed="false">
      <c r="A393" s="76"/>
      <c r="B393" s="76"/>
      <c r="C393" s="88"/>
      <c r="D393" s="89"/>
      <c r="E393" s="89"/>
      <c r="F393" s="89"/>
      <c r="G393" s="89"/>
      <c r="H393" s="89"/>
      <c r="I393" s="90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</row>
    <row r="394" customFormat="false" ht="15.75" hidden="false" customHeight="true" outlineLevel="0" collapsed="false">
      <c r="A394" s="76"/>
      <c r="B394" s="76"/>
      <c r="C394" s="88"/>
      <c r="D394" s="89"/>
      <c r="E394" s="89"/>
      <c r="F394" s="89"/>
      <c r="G394" s="89"/>
      <c r="H394" s="89"/>
      <c r="I394" s="90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89"/>
    </row>
    <row r="395" customFormat="false" ht="15.75" hidden="false" customHeight="true" outlineLevel="0" collapsed="false">
      <c r="A395" s="76"/>
      <c r="B395" s="76"/>
      <c r="C395" s="88"/>
      <c r="D395" s="89"/>
      <c r="E395" s="89"/>
      <c r="F395" s="89"/>
      <c r="G395" s="89"/>
      <c r="H395" s="89"/>
      <c r="I395" s="90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</row>
    <row r="396" customFormat="false" ht="15.75" hidden="false" customHeight="true" outlineLevel="0" collapsed="false">
      <c r="A396" s="76"/>
      <c r="B396" s="76"/>
      <c r="C396" s="88"/>
      <c r="D396" s="89"/>
      <c r="E396" s="89"/>
      <c r="F396" s="89"/>
      <c r="G396" s="89"/>
      <c r="H396" s="89"/>
      <c r="I396" s="90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</row>
    <row r="397" customFormat="false" ht="15.75" hidden="false" customHeight="true" outlineLevel="0" collapsed="false">
      <c r="A397" s="76"/>
      <c r="B397" s="76"/>
      <c r="C397" s="88"/>
      <c r="D397" s="89"/>
      <c r="E397" s="89"/>
      <c r="F397" s="89"/>
      <c r="G397" s="89"/>
      <c r="H397" s="89"/>
      <c r="I397" s="90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</row>
    <row r="398" customFormat="false" ht="15.75" hidden="false" customHeight="true" outlineLevel="0" collapsed="false">
      <c r="A398" s="76"/>
      <c r="B398" s="76"/>
      <c r="C398" s="88"/>
      <c r="D398" s="89"/>
      <c r="E398" s="89"/>
      <c r="F398" s="89"/>
      <c r="G398" s="89"/>
      <c r="H398" s="89"/>
      <c r="I398" s="90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</row>
    <row r="399" customFormat="false" ht="15.75" hidden="false" customHeight="true" outlineLevel="0" collapsed="false">
      <c r="A399" s="76"/>
      <c r="B399" s="76"/>
      <c r="C399" s="88"/>
      <c r="D399" s="89"/>
      <c r="E399" s="89"/>
      <c r="F399" s="89"/>
      <c r="G399" s="89"/>
      <c r="H399" s="89"/>
      <c r="I399" s="90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</row>
    <row r="400" customFormat="false" ht="15.75" hidden="false" customHeight="true" outlineLevel="0" collapsed="false">
      <c r="A400" s="76"/>
      <c r="B400" s="76"/>
      <c r="C400" s="88"/>
      <c r="D400" s="89"/>
      <c r="E400" s="89"/>
      <c r="F400" s="89"/>
      <c r="G400" s="89"/>
      <c r="H400" s="89"/>
      <c r="I400" s="90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</row>
    <row r="401" customFormat="false" ht="15.75" hidden="false" customHeight="true" outlineLevel="0" collapsed="false">
      <c r="A401" s="76"/>
      <c r="B401" s="76"/>
      <c r="C401" s="88"/>
      <c r="D401" s="89"/>
      <c r="E401" s="89"/>
      <c r="F401" s="89"/>
      <c r="G401" s="89"/>
      <c r="H401" s="89"/>
      <c r="I401" s="90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</row>
    <row r="402" customFormat="false" ht="15.75" hidden="false" customHeight="true" outlineLevel="0" collapsed="false">
      <c r="A402" s="76"/>
      <c r="B402" s="76"/>
      <c r="C402" s="88"/>
      <c r="D402" s="89"/>
      <c r="E402" s="89"/>
      <c r="F402" s="89"/>
      <c r="G402" s="89"/>
      <c r="H402" s="89"/>
      <c r="I402" s="90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</row>
    <row r="403" customFormat="false" ht="15.75" hidden="false" customHeight="true" outlineLevel="0" collapsed="false">
      <c r="A403" s="76"/>
      <c r="B403" s="76"/>
      <c r="C403" s="88"/>
      <c r="D403" s="89"/>
      <c r="E403" s="89"/>
      <c r="F403" s="89"/>
      <c r="G403" s="89"/>
      <c r="H403" s="89"/>
      <c r="I403" s="90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</row>
    <row r="404" customFormat="false" ht="15.75" hidden="false" customHeight="true" outlineLevel="0" collapsed="false">
      <c r="A404" s="76"/>
      <c r="B404" s="76"/>
      <c r="C404" s="88"/>
      <c r="D404" s="89"/>
      <c r="E404" s="89"/>
      <c r="F404" s="89"/>
      <c r="G404" s="89"/>
      <c r="H404" s="89"/>
      <c r="I404" s="90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</row>
    <row r="405" customFormat="false" ht="15.75" hidden="false" customHeight="true" outlineLevel="0" collapsed="false">
      <c r="A405" s="76"/>
      <c r="B405" s="76"/>
      <c r="C405" s="88"/>
      <c r="D405" s="89"/>
      <c r="E405" s="89"/>
      <c r="F405" s="89"/>
      <c r="G405" s="89"/>
      <c r="H405" s="89"/>
      <c r="I405" s="90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</row>
    <row r="406" customFormat="false" ht="15.75" hidden="false" customHeight="true" outlineLevel="0" collapsed="false">
      <c r="A406" s="76"/>
      <c r="B406" s="76"/>
      <c r="C406" s="88"/>
      <c r="D406" s="89"/>
      <c r="E406" s="89"/>
      <c r="F406" s="89"/>
      <c r="G406" s="89"/>
      <c r="H406" s="89"/>
      <c r="I406" s="90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</row>
    <row r="407" customFormat="false" ht="15.75" hidden="false" customHeight="true" outlineLevel="0" collapsed="false">
      <c r="A407" s="76"/>
      <c r="B407" s="76"/>
      <c r="C407" s="88"/>
      <c r="D407" s="89"/>
      <c r="E407" s="89"/>
      <c r="F407" s="89"/>
      <c r="G407" s="89"/>
      <c r="H407" s="89"/>
      <c r="I407" s="90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</row>
    <row r="408" customFormat="false" ht="15.75" hidden="false" customHeight="true" outlineLevel="0" collapsed="false">
      <c r="A408" s="76"/>
      <c r="B408" s="76"/>
      <c r="C408" s="88"/>
      <c r="D408" s="89"/>
      <c r="E408" s="89"/>
      <c r="F408" s="89"/>
      <c r="G408" s="89"/>
      <c r="H408" s="89"/>
      <c r="I408" s="90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</row>
    <row r="409" customFormat="false" ht="15.75" hidden="false" customHeight="true" outlineLevel="0" collapsed="false">
      <c r="A409" s="76"/>
      <c r="B409" s="76"/>
      <c r="C409" s="88"/>
      <c r="D409" s="89"/>
      <c r="E409" s="89"/>
      <c r="F409" s="89"/>
      <c r="G409" s="89"/>
      <c r="H409" s="89"/>
      <c r="I409" s="90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89"/>
    </row>
    <row r="410" customFormat="false" ht="15.75" hidden="false" customHeight="true" outlineLevel="0" collapsed="false">
      <c r="A410" s="76"/>
      <c r="B410" s="76"/>
      <c r="C410" s="88"/>
      <c r="D410" s="89"/>
      <c r="E410" s="89"/>
      <c r="F410" s="89"/>
      <c r="G410" s="89"/>
      <c r="H410" s="89"/>
      <c r="I410" s="90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</row>
    <row r="411" customFormat="false" ht="15.75" hidden="false" customHeight="true" outlineLevel="0" collapsed="false">
      <c r="A411" s="76"/>
      <c r="B411" s="76"/>
      <c r="C411" s="88"/>
      <c r="D411" s="89"/>
      <c r="E411" s="89"/>
      <c r="F411" s="89"/>
      <c r="G411" s="89"/>
      <c r="H411" s="89"/>
      <c r="I411" s="90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89"/>
    </row>
    <row r="412" customFormat="false" ht="15.75" hidden="false" customHeight="true" outlineLevel="0" collapsed="false">
      <c r="A412" s="76"/>
      <c r="B412" s="76"/>
      <c r="C412" s="88"/>
      <c r="D412" s="89"/>
      <c r="E412" s="89"/>
      <c r="F412" s="89"/>
      <c r="G412" s="89"/>
      <c r="H412" s="89"/>
      <c r="I412" s="90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89"/>
    </row>
    <row r="413" customFormat="false" ht="15.75" hidden="false" customHeight="true" outlineLevel="0" collapsed="false">
      <c r="A413" s="76"/>
      <c r="B413" s="76"/>
      <c r="C413" s="88"/>
      <c r="D413" s="89"/>
      <c r="E413" s="89"/>
      <c r="F413" s="89"/>
      <c r="G413" s="89"/>
      <c r="H413" s="89"/>
      <c r="I413" s="90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</row>
    <row r="414" customFormat="false" ht="15.75" hidden="false" customHeight="true" outlineLevel="0" collapsed="false">
      <c r="A414" s="76"/>
      <c r="B414" s="76"/>
      <c r="C414" s="88"/>
      <c r="D414" s="89"/>
      <c r="E414" s="89"/>
      <c r="F414" s="89"/>
      <c r="G414" s="89"/>
      <c r="H414" s="89"/>
      <c r="I414" s="90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</row>
    <row r="415" customFormat="false" ht="15.75" hidden="false" customHeight="true" outlineLevel="0" collapsed="false">
      <c r="A415" s="76"/>
      <c r="B415" s="76"/>
      <c r="C415" s="88"/>
      <c r="D415" s="89"/>
      <c r="E415" s="89"/>
      <c r="F415" s="89"/>
      <c r="G415" s="89"/>
      <c r="H415" s="89"/>
      <c r="I415" s="90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</row>
    <row r="416" customFormat="false" ht="15.75" hidden="false" customHeight="true" outlineLevel="0" collapsed="false">
      <c r="A416" s="76"/>
      <c r="B416" s="76"/>
      <c r="C416" s="88"/>
      <c r="D416" s="89"/>
      <c r="E416" s="89"/>
      <c r="F416" s="89"/>
      <c r="G416" s="89"/>
      <c r="H416" s="89"/>
      <c r="I416" s="90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  <c r="AJ416" s="89"/>
      <c r="AK416" s="89"/>
    </row>
    <row r="417" customFormat="false" ht="15.75" hidden="false" customHeight="true" outlineLevel="0" collapsed="false">
      <c r="A417" s="76"/>
      <c r="B417" s="76"/>
      <c r="C417" s="88"/>
      <c r="D417" s="89"/>
      <c r="E417" s="89"/>
      <c r="F417" s="89"/>
      <c r="G417" s="89"/>
      <c r="H417" s="89"/>
      <c r="I417" s="90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89"/>
    </row>
    <row r="418" customFormat="false" ht="15.75" hidden="false" customHeight="true" outlineLevel="0" collapsed="false">
      <c r="A418" s="76"/>
      <c r="B418" s="76"/>
      <c r="C418" s="88"/>
      <c r="D418" s="89"/>
      <c r="E418" s="89"/>
      <c r="F418" s="89"/>
      <c r="G418" s="89"/>
      <c r="H418" s="89"/>
      <c r="I418" s="90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  <c r="AJ418" s="89"/>
      <c r="AK418" s="89"/>
    </row>
    <row r="419" customFormat="false" ht="15.75" hidden="false" customHeight="true" outlineLevel="0" collapsed="false">
      <c r="A419" s="76"/>
      <c r="B419" s="76"/>
      <c r="C419" s="88"/>
      <c r="D419" s="89"/>
      <c r="E419" s="89"/>
      <c r="F419" s="89"/>
      <c r="G419" s="89"/>
      <c r="H419" s="89"/>
      <c r="I419" s="90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89"/>
    </row>
    <row r="420" customFormat="false" ht="15.75" hidden="false" customHeight="true" outlineLevel="0" collapsed="false">
      <c r="A420" s="76"/>
      <c r="B420" s="76"/>
      <c r="C420" s="88"/>
      <c r="D420" s="89"/>
      <c r="E420" s="89"/>
      <c r="F420" s="89"/>
      <c r="G420" s="89"/>
      <c r="H420" s="89"/>
      <c r="I420" s="90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  <c r="AJ420" s="89"/>
      <c r="AK420" s="89"/>
    </row>
    <row r="421" customFormat="false" ht="15.75" hidden="false" customHeight="true" outlineLevel="0" collapsed="false">
      <c r="A421" s="76"/>
      <c r="B421" s="76"/>
      <c r="C421" s="88"/>
      <c r="D421" s="89"/>
      <c r="E421" s="89"/>
      <c r="F421" s="89"/>
      <c r="G421" s="89"/>
      <c r="H421" s="89"/>
      <c r="I421" s="90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89"/>
    </row>
    <row r="422" customFormat="false" ht="15.75" hidden="false" customHeight="true" outlineLevel="0" collapsed="false">
      <c r="A422" s="76"/>
      <c r="B422" s="76"/>
      <c r="C422" s="88"/>
      <c r="D422" s="89"/>
      <c r="E422" s="89"/>
      <c r="F422" s="89"/>
      <c r="G422" s="89"/>
      <c r="H422" s="89"/>
      <c r="I422" s="90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  <c r="AJ422" s="89"/>
      <c r="AK422" s="89"/>
    </row>
    <row r="423" customFormat="false" ht="15.75" hidden="false" customHeight="true" outlineLevel="0" collapsed="false">
      <c r="A423" s="76"/>
      <c r="B423" s="76"/>
      <c r="C423" s="88"/>
      <c r="D423" s="89"/>
      <c r="E423" s="89"/>
      <c r="F423" s="89"/>
      <c r="G423" s="89"/>
      <c r="H423" s="89"/>
      <c r="I423" s="90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89"/>
    </row>
    <row r="424" customFormat="false" ht="15.75" hidden="false" customHeight="true" outlineLevel="0" collapsed="false">
      <c r="A424" s="76"/>
      <c r="B424" s="76"/>
      <c r="C424" s="88"/>
      <c r="D424" s="89"/>
      <c r="E424" s="89"/>
      <c r="F424" s="89"/>
      <c r="G424" s="89"/>
      <c r="H424" s="89"/>
      <c r="I424" s="90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89"/>
    </row>
    <row r="425" customFormat="false" ht="15.75" hidden="false" customHeight="true" outlineLevel="0" collapsed="false">
      <c r="A425" s="76"/>
      <c r="B425" s="76"/>
      <c r="C425" s="88"/>
      <c r="D425" s="89"/>
      <c r="E425" s="89"/>
      <c r="F425" s="89"/>
      <c r="G425" s="89"/>
      <c r="H425" s="89"/>
      <c r="I425" s="90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  <c r="AJ425" s="89"/>
      <c r="AK425" s="89"/>
    </row>
    <row r="426" customFormat="false" ht="15.75" hidden="false" customHeight="true" outlineLevel="0" collapsed="false">
      <c r="A426" s="76"/>
      <c r="B426" s="76"/>
      <c r="C426" s="88"/>
      <c r="D426" s="89"/>
      <c r="E426" s="89"/>
      <c r="F426" s="89"/>
      <c r="G426" s="89"/>
      <c r="H426" s="89"/>
      <c r="I426" s="90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  <c r="AJ426" s="89"/>
      <c r="AK426" s="89"/>
    </row>
    <row r="427" customFormat="false" ht="15.75" hidden="false" customHeight="true" outlineLevel="0" collapsed="false">
      <c r="A427" s="76"/>
      <c r="B427" s="76"/>
      <c r="C427" s="88"/>
      <c r="D427" s="89"/>
      <c r="E427" s="89"/>
      <c r="F427" s="89"/>
      <c r="G427" s="89"/>
      <c r="H427" s="89"/>
      <c r="I427" s="90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89"/>
    </row>
    <row r="428" customFormat="false" ht="15.75" hidden="false" customHeight="true" outlineLevel="0" collapsed="false">
      <c r="A428" s="76"/>
      <c r="B428" s="76"/>
      <c r="C428" s="88"/>
      <c r="D428" s="89"/>
      <c r="E428" s="89"/>
      <c r="F428" s="89"/>
      <c r="G428" s="89"/>
      <c r="H428" s="89"/>
      <c r="I428" s="90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  <c r="AJ428" s="89"/>
      <c r="AK428" s="89"/>
    </row>
    <row r="429" customFormat="false" ht="15.75" hidden="false" customHeight="true" outlineLevel="0" collapsed="false">
      <c r="A429" s="76"/>
      <c r="B429" s="76"/>
      <c r="C429" s="88"/>
      <c r="D429" s="89"/>
      <c r="E429" s="89"/>
      <c r="F429" s="89"/>
      <c r="G429" s="89"/>
      <c r="H429" s="89"/>
      <c r="I429" s="90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  <c r="AJ429" s="89"/>
      <c r="AK429" s="89"/>
    </row>
    <row r="430" customFormat="false" ht="15.75" hidden="false" customHeight="true" outlineLevel="0" collapsed="false">
      <c r="A430" s="76"/>
      <c r="B430" s="76"/>
      <c r="C430" s="88"/>
      <c r="D430" s="89"/>
      <c r="E430" s="89"/>
      <c r="F430" s="89"/>
      <c r="G430" s="89"/>
      <c r="H430" s="89"/>
      <c r="I430" s="90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  <c r="AJ430" s="89"/>
      <c r="AK430" s="89"/>
    </row>
    <row r="431" customFormat="false" ht="15.75" hidden="false" customHeight="true" outlineLevel="0" collapsed="false">
      <c r="A431" s="76"/>
      <c r="B431" s="76"/>
      <c r="C431" s="88"/>
      <c r="D431" s="89"/>
      <c r="E431" s="89"/>
      <c r="F431" s="89"/>
      <c r="G431" s="89"/>
      <c r="H431" s="89"/>
      <c r="I431" s="90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89"/>
    </row>
    <row r="432" customFormat="false" ht="15.75" hidden="false" customHeight="true" outlineLevel="0" collapsed="false">
      <c r="A432" s="76"/>
      <c r="B432" s="76"/>
      <c r="C432" s="88"/>
      <c r="D432" s="89"/>
      <c r="E432" s="89"/>
      <c r="F432" s="89"/>
      <c r="G432" s="89"/>
      <c r="H432" s="89"/>
      <c r="I432" s="90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89"/>
    </row>
    <row r="433" customFormat="false" ht="15.75" hidden="false" customHeight="true" outlineLevel="0" collapsed="false">
      <c r="A433" s="76"/>
      <c r="B433" s="76"/>
      <c r="C433" s="88"/>
      <c r="D433" s="89"/>
      <c r="E433" s="89"/>
      <c r="F433" s="89"/>
      <c r="G433" s="89"/>
      <c r="H433" s="89"/>
      <c r="I433" s="90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89"/>
    </row>
    <row r="434" customFormat="false" ht="15.75" hidden="false" customHeight="true" outlineLevel="0" collapsed="false">
      <c r="A434" s="76"/>
      <c r="B434" s="76"/>
      <c r="C434" s="88"/>
      <c r="D434" s="89"/>
      <c r="E434" s="89"/>
      <c r="F434" s="89"/>
      <c r="G434" s="89"/>
      <c r="H434" s="89"/>
      <c r="I434" s="90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</row>
    <row r="435" customFormat="false" ht="15.75" hidden="false" customHeight="true" outlineLevel="0" collapsed="false">
      <c r="A435" s="76"/>
      <c r="B435" s="76"/>
      <c r="C435" s="88"/>
      <c r="D435" s="89"/>
      <c r="E435" s="89"/>
      <c r="F435" s="89"/>
      <c r="G435" s="89"/>
      <c r="H435" s="89"/>
      <c r="I435" s="90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89"/>
    </row>
    <row r="436" customFormat="false" ht="15.75" hidden="false" customHeight="true" outlineLevel="0" collapsed="false">
      <c r="A436" s="76"/>
      <c r="B436" s="76"/>
      <c r="C436" s="88"/>
      <c r="D436" s="89"/>
      <c r="E436" s="89"/>
      <c r="F436" s="89"/>
      <c r="G436" s="89"/>
      <c r="H436" s="89"/>
      <c r="I436" s="90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  <c r="AJ436" s="89"/>
      <c r="AK436" s="89"/>
    </row>
    <row r="437" customFormat="false" ht="15.75" hidden="false" customHeight="true" outlineLevel="0" collapsed="false">
      <c r="A437" s="76"/>
      <c r="B437" s="76"/>
      <c r="C437" s="88"/>
      <c r="D437" s="89"/>
      <c r="E437" s="89"/>
      <c r="F437" s="89"/>
      <c r="G437" s="89"/>
      <c r="H437" s="89"/>
      <c r="I437" s="90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89"/>
    </row>
    <row r="438" customFormat="false" ht="15.75" hidden="false" customHeight="true" outlineLevel="0" collapsed="false">
      <c r="A438" s="76"/>
      <c r="B438" s="76"/>
      <c r="C438" s="88"/>
      <c r="D438" s="89"/>
      <c r="E438" s="89"/>
      <c r="F438" s="89"/>
      <c r="G438" s="89"/>
      <c r="H438" s="89"/>
      <c r="I438" s="90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  <c r="AJ438" s="89"/>
      <c r="AK438" s="89"/>
    </row>
    <row r="439" customFormat="false" ht="15.75" hidden="false" customHeight="true" outlineLevel="0" collapsed="false">
      <c r="A439" s="76"/>
      <c r="B439" s="76"/>
      <c r="C439" s="88"/>
      <c r="D439" s="89"/>
      <c r="E439" s="89"/>
      <c r="F439" s="89"/>
      <c r="G439" s="89"/>
      <c r="H439" s="89"/>
      <c r="I439" s="90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89"/>
    </row>
    <row r="440" customFormat="false" ht="15.75" hidden="false" customHeight="true" outlineLevel="0" collapsed="false">
      <c r="A440" s="76"/>
      <c r="B440" s="76"/>
      <c r="C440" s="88"/>
      <c r="D440" s="89"/>
      <c r="E440" s="89"/>
      <c r="F440" s="89"/>
      <c r="G440" s="89"/>
      <c r="H440" s="89"/>
      <c r="I440" s="90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</row>
    <row r="441" customFormat="false" ht="15.75" hidden="false" customHeight="true" outlineLevel="0" collapsed="false">
      <c r="A441" s="76"/>
      <c r="B441" s="76"/>
      <c r="C441" s="88"/>
      <c r="D441" s="89"/>
      <c r="E441" s="89"/>
      <c r="F441" s="89"/>
      <c r="G441" s="89"/>
      <c r="H441" s="89"/>
      <c r="I441" s="90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</row>
    <row r="442" customFormat="false" ht="15.75" hidden="false" customHeight="true" outlineLevel="0" collapsed="false">
      <c r="A442" s="76"/>
      <c r="B442" s="76"/>
      <c r="C442" s="88"/>
      <c r="D442" s="89"/>
      <c r="E442" s="89"/>
      <c r="F442" s="89"/>
      <c r="G442" s="89"/>
      <c r="H442" s="89"/>
      <c r="I442" s="90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89"/>
    </row>
    <row r="443" customFormat="false" ht="15.75" hidden="false" customHeight="true" outlineLevel="0" collapsed="false">
      <c r="A443" s="76"/>
      <c r="B443" s="76"/>
      <c r="C443" s="88"/>
      <c r="D443" s="89"/>
      <c r="E443" s="89"/>
      <c r="F443" s="89"/>
      <c r="G443" s="89"/>
      <c r="H443" s="89"/>
      <c r="I443" s="90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89"/>
    </row>
    <row r="444" customFormat="false" ht="15.75" hidden="false" customHeight="true" outlineLevel="0" collapsed="false">
      <c r="A444" s="76"/>
      <c r="B444" s="76"/>
      <c r="C444" s="88"/>
      <c r="D444" s="89"/>
      <c r="E444" s="89"/>
      <c r="F444" s="89"/>
      <c r="G444" s="89"/>
      <c r="H444" s="89"/>
      <c r="I444" s="90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  <c r="AJ444" s="89"/>
      <c r="AK444" s="89"/>
    </row>
    <row r="445" customFormat="false" ht="15.75" hidden="false" customHeight="true" outlineLevel="0" collapsed="false">
      <c r="A445" s="76"/>
      <c r="B445" s="76"/>
      <c r="C445" s="88"/>
      <c r="D445" s="89"/>
      <c r="E445" s="89"/>
      <c r="F445" s="89"/>
      <c r="G445" s="89"/>
      <c r="H445" s="89"/>
      <c r="I445" s="90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89"/>
    </row>
    <row r="446" customFormat="false" ht="15.75" hidden="false" customHeight="true" outlineLevel="0" collapsed="false">
      <c r="A446" s="76"/>
      <c r="B446" s="76"/>
      <c r="C446" s="88"/>
      <c r="D446" s="89"/>
      <c r="E446" s="89"/>
      <c r="F446" s="89"/>
      <c r="G446" s="89"/>
      <c r="H446" s="89"/>
      <c r="I446" s="90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  <c r="AJ446" s="89"/>
      <c r="AK446" s="89"/>
    </row>
    <row r="447" customFormat="false" ht="15.75" hidden="false" customHeight="true" outlineLevel="0" collapsed="false">
      <c r="A447" s="76"/>
      <c r="B447" s="76"/>
      <c r="C447" s="88"/>
      <c r="D447" s="89"/>
      <c r="E447" s="89"/>
      <c r="F447" s="89"/>
      <c r="G447" s="89"/>
      <c r="H447" s="89"/>
      <c r="I447" s="90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89"/>
    </row>
    <row r="448" customFormat="false" ht="15.75" hidden="false" customHeight="true" outlineLevel="0" collapsed="false">
      <c r="A448" s="76"/>
      <c r="B448" s="76"/>
      <c r="C448" s="88"/>
      <c r="D448" s="89"/>
      <c r="E448" s="89"/>
      <c r="F448" s="89"/>
      <c r="G448" s="89"/>
      <c r="H448" s="89"/>
      <c r="I448" s="90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  <c r="AJ448" s="89"/>
      <c r="AK448" s="89"/>
    </row>
    <row r="449" customFormat="false" ht="15.75" hidden="false" customHeight="true" outlineLevel="0" collapsed="false">
      <c r="A449" s="76"/>
      <c r="B449" s="76"/>
      <c r="C449" s="88"/>
      <c r="D449" s="89"/>
      <c r="E449" s="89"/>
      <c r="F449" s="89"/>
      <c r="G449" s="89"/>
      <c r="H449" s="89"/>
      <c r="I449" s="90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89"/>
    </row>
    <row r="450" customFormat="false" ht="15.75" hidden="false" customHeight="true" outlineLevel="0" collapsed="false">
      <c r="A450" s="76"/>
      <c r="B450" s="76"/>
      <c r="C450" s="88"/>
      <c r="D450" s="89"/>
      <c r="E450" s="89"/>
      <c r="F450" s="89"/>
      <c r="G450" s="89"/>
      <c r="H450" s="89"/>
      <c r="I450" s="90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  <c r="AJ450" s="89"/>
      <c r="AK450" s="89"/>
    </row>
    <row r="451" customFormat="false" ht="15.75" hidden="false" customHeight="true" outlineLevel="0" collapsed="false">
      <c r="A451" s="76"/>
      <c r="B451" s="76"/>
      <c r="C451" s="88"/>
      <c r="D451" s="89"/>
      <c r="E451" s="89"/>
      <c r="F451" s="89"/>
      <c r="G451" s="89"/>
      <c r="H451" s="89"/>
      <c r="I451" s="90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89"/>
    </row>
    <row r="452" customFormat="false" ht="15.75" hidden="false" customHeight="true" outlineLevel="0" collapsed="false">
      <c r="A452" s="76"/>
      <c r="B452" s="76"/>
      <c r="C452" s="88"/>
      <c r="D452" s="89"/>
      <c r="E452" s="89"/>
      <c r="F452" s="89"/>
      <c r="G452" s="89"/>
      <c r="H452" s="89"/>
      <c r="I452" s="90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  <c r="AJ452" s="89"/>
      <c r="AK452" s="89"/>
    </row>
    <row r="453" customFormat="false" ht="15.75" hidden="false" customHeight="true" outlineLevel="0" collapsed="false">
      <c r="A453" s="76"/>
      <c r="B453" s="76"/>
      <c r="C453" s="88"/>
      <c r="D453" s="89"/>
      <c r="E453" s="89"/>
      <c r="F453" s="89"/>
      <c r="G453" s="89"/>
      <c r="H453" s="89"/>
      <c r="I453" s="90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89"/>
    </row>
    <row r="454" customFormat="false" ht="15.75" hidden="false" customHeight="true" outlineLevel="0" collapsed="false">
      <c r="A454" s="76"/>
      <c r="B454" s="76"/>
      <c r="C454" s="88"/>
      <c r="D454" s="89"/>
      <c r="E454" s="89"/>
      <c r="F454" s="89"/>
      <c r="G454" s="89"/>
      <c r="H454" s="89"/>
      <c r="I454" s="90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89"/>
    </row>
    <row r="455" customFormat="false" ht="15.75" hidden="false" customHeight="true" outlineLevel="0" collapsed="false">
      <c r="A455" s="76"/>
      <c r="B455" s="76"/>
      <c r="C455" s="88"/>
      <c r="D455" s="89"/>
      <c r="E455" s="89"/>
      <c r="F455" s="89"/>
      <c r="G455" s="89"/>
      <c r="H455" s="89"/>
      <c r="I455" s="90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</row>
    <row r="456" customFormat="false" ht="15.75" hidden="false" customHeight="true" outlineLevel="0" collapsed="false">
      <c r="A456" s="76"/>
      <c r="B456" s="76"/>
      <c r="C456" s="88"/>
      <c r="D456" s="89"/>
      <c r="E456" s="89"/>
      <c r="F456" s="89"/>
      <c r="G456" s="89"/>
      <c r="H456" s="89"/>
      <c r="I456" s="90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89"/>
    </row>
    <row r="457" customFormat="false" ht="15.75" hidden="false" customHeight="true" outlineLevel="0" collapsed="false">
      <c r="A457" s="76"/>
      <c r="B457" s="76"/>
      <c r="C457" s="88"/>
      <c r="D457" s="89"/>
      <c r="E457" s="89"/>
      <c r="F457" s="89"/>
      <c r="G457" s="89"/>
      <c r="H457" s="89"/>
      <c r="I457" s="90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89"/>
    </row>
    <row r="458" customFormat="false" ht="15.75" hidden="false" customHeight="true" outlineLevel="0" collapsed="false">
      <c r="A458" s="76"/>
      <c r="B458" s="76"/>
      <c r="C458" s="88"/>
      <c r="D458" s="89"/>
      <c r="E458" s="89"/>
      <c r="F458" s="89"/>
      <c r="G458" s="89"/>
      <c r="H458" s="89"/>
      <c r="I458" s="90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  <c r="AG458" s="89"/>
      <c r="AH458" s="89"/>
      <c r="AI458" s="89"/>
      <c r="AJ458" s="89"/>
      <c r="AK458" s="89"/>
    </row>
    <row r="459" customFormat="false" ht="15.75" hidden="false" customHeight="true" outlineLevel="0" collapsed="false">
      <c r="A459" s="76"/>
      <c r="B459" s="76"/>
      <c r="C459" s="88"/>
      <c r="D459" s="89"/>
      <c r="E459" s="89"/>
      <c r="F459" s="89"/>
      <c r="G459" s="89"/>
      <c r="H459" s="89"/>
      <c r="I459" s="90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89"/>
    </row>
    <row r="460" customFormat="false" ht="15.75" hidden="false" customHeight="true" outlineLevel="0" collapsed="false">
      <c r="A460" s="76"/>
      <c r="B460" s="76"/>
      <c r="C460" s="88"/>
      <c r="D460" s="89"/>
      <c r="E460" s="89"/>
      <c r="F460" s="89"/>
      <c r="G460" s="89"/>
      <c r="H460" s="89"/>
      <c r="I460" s="90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89"/>
    </row>
    <row r="461" customFormat="false" ht="15.75" hidden="false" customHeight="true" outlineLevel="0" collapsed="false">
      <c r="A461" s="76"/>
      <c r="B461" s="76"/>
      <c r="C461" s="88"/>
      <c r="D461" s="89"/>
      <c r="E461" s="89"/>
      <c r="F461" s="89"/>
      <c r="G461" s="89"/>
      <c r="H461" s="89"/>
      <c r="I461" s="90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89"/>
    </row>
    <row r="462" customFormat="false" ht="15.75" hidden="false" customHeight="true" outlineLevel="0" collapsed="false">
      <c r="A462" s="76"/>
      <c r="B462" s="76"/>
      <c r="C462" s="88"/>
      <c r="D462" s="89"/>
      <c r="E462" s="89"/>
      <c r="F462" s="89"/>
      <c r="G462" s="89"/>
      <c r="H462" s="89"/>
      <c r="I462" s="90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89"/>
    </row>
    <row r="463" customFormat="false" ht="15.75" hidden="false" customHeight="true" outlineLevel="0" collapsed="false">
      <c r="A463" s="76"/>
      <c r="B463" s="76"/>
      <c r="C463" s="88"/>
      <c r="D463" s="89"/>
      <c r="E463" s="89"/>
      <c r="F463" s="89"/>
      <c r="G463" s="89"/>
      <c r="H463" s="89"/>
      <c r="I463" s="90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89"/>
    </row>
    <row r="464" customFormat="false" ht="15.75" hidden="false" customHeight="true" outlineLevel="0" collapsed="false">
      <c r="A464" s="76"/>
      <c r="B464" s="76"/>
      <c r="C464" s="88"/>
      <c r="D464" s="89"/>
      <c r="E464" s="89"/>
      <c r="F464" s="89"/>
      <c r="G464" s="89"/>
      <c r="H464" s="89"/>
      <c r="I464" s="90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89"/>
      <c r="AE464" s="89"/>
      <c r="AF464" s="89"/>
      <c r="AG464" s="89"/>
      <c r="AH464" s="89"/>
      <c r="AI464" s="89"/>
      <c r="AJ464" s="89"/>
      <c r="AK464" s="89"/>
    </row>
    <row r="465" customFormat="false" ht="15.75" hidden="false" customHeight="true" outlineLevel="0" collapsed="false">
      <c r="A465" s="76"/>
      <c r="B465" s="76"/>
      <c r="C465" s="88"/>
      <c r="D465" s="89"/>
      <c r="E465" s="89"/>
      <c r="F465" s="89"/>
      <c r="G465" s="89"/>
      <c r="H465" s="89"/>
      <c r="I465" s="90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89"/>
    </row>
    <row r="466" customFormat="false" ht="15.75" hidden="false" customHeight="true" outlineLevel="0" collapsed="false">
      <c r="A466" s="76"/>
      <c r="B466" s="76"/>
      <c r="C466" s="88"/>
      <c r="D466" s="89"/>
      <c r="E466" s="89"/>
      <c r="F466" s="89"/>
      <c r="G466" s="89"/>
      <c r="H466" s="89"/>
      <c r="I466" s="90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89"/>
      <c r="AE466" s="89"/>
      <c r="AF466" s="89"/>
      <c r="AG466" s="89"/>
      <c r="AH466" s="89"/>
      <c r="AI466" s="89"/>
      <c r="AJ466" s="89"/>
      <c r="AK466" s="89"/>
    </row>
    <row r="467" customFormat="false" ht="15.75" hidden="false" customHeight="true" outlineLevel="0" collapsed="false">
      <c r="A467" s="76"/>
      <c r="B467" s="76"/>
      <c r="C467" s="88"/>
      <c r="D467" s="89"/>
      <c r="E467" s="89"/>
      <c r="F467" s="89"/>
      <c r="G467" s="89"/>
      <c r="H467" s="89"/>
      <c r="I467" s="90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</row>
    <row r="468" customFormat="false" ht="15.75" hidden="false" customHeight="true" outlineLevel="0" collapsed="false">
      <c r="A468" s="76"/>
      <c r="B468" s="76"/>
      <c r="C468" s="88"/>
      <c r="D468" s="89"/>
      <c r="E468" s="89"/>
      <c r="F468" s="89"/>
      <c r="G468" s="89"/>
      <c r="H468" s="89"/>
      <c r="I468" s="90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</row>
    <row r="469" customFormat="false" ht="15.75" hidden="false" customHeight="true" outlineLevel="0" collapsed="false">
      <c r="A469" s="76"/>
      <c r="B469" s="76"/>
      <c r="C469" s="88"/>
      <c r="D469" s="89"/>
      <c r="E469" s="89"/>
      <c r="F469" s="89"/>
      <c r="G469" s="89"/>
      <c r="H469" s="89"/>
      <c r="I469" s="90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</row>
    <row r="470" customFormat="false" ht="15.75" hidden="false" customHeight="true" outlineLevel="0" collapsed="false">
      <c r="A470" s="76"/>
      <c r="B470" s="76"/>
      <c r="C470" s="88"/>
      <c r="D470" s="89"/>
      <c r="E470" s="89"/>
      <c r="F470" s="89"/>
      <c r="G470" s="89"/>
      <c r="H470" s="89"/>
      <c r="I470" s="90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89"/>
      <c r="AE470" s="89"/>
      <c r="AF470" s="89"/>
      <c r="AG470" s="89"/>
      <c r="AH470" s="89"/>
      <c r="AI470" s="89"/>
      <c r="AJ470" s="89"/>
      <c r="AK470" s="89"/>
    </row>
    <row r="471" customFormat="false" ht="15.75" hidden="false" customHeight="true" outlineLevel="0" collapsed="false">
      <c r="A471" s="76"/>
      <c r="B471" s="76"/>
      <c r="C471" s="88"/>
      <c r="D471" s="89"/>
      <c r="E471" s="89"/>
      <c r="F471" s="89"/>
      <c r="G471" s="89"/>
      <c r="H471" s="89"/>
      <c r="I471" s="90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89"/>
    </row>
    <row r="472" customFormat="false" ht="15.75" hidden="false" customHeight="true" outlineLevel="0" collapsed="false">
      <c r="A472" s="76"/>
      <c r="B472" s="76"/>
      <c r="C472" s="88"/>
      <c r="D472" s="89"/>
      <c r="E472" s="89"/>
      <c r="F472" s="89"/>
      <c r="G472" s="89"/>
      <c r="H472" s="89"/>
      <c r="I472" s="90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89"/>
    </row>
    <row r="473" customFormat="false" ht="15.75" hidden="false" customHeight="true" outlineLevel="0" collapsed="false">
      <c r="A473" s="76"/>
      <c r="B473" s="76"/>
      <c r="C473" s="88"/>
      <c r="D473" s="89"/>
      <c r="E473" s="89"/>
      <c r="F473" s="89"/>
      <c r="G473" s="89"/>
      <c r="H473" s="89"/>
      <c r="I473" s="90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89"/>
    </row>
    <row r="474" customFormat="false" ht="15.75" hidden="false" customHeight="true" outlineLevel="0" collapsed="false">
      <c r="A474" s="76"/>
      <c r="B474" s="76"/>
      <c r="C474" s="88"/>
      <c r="D474" s="89"/>
      <c r="E474" s="89"/>
      <c r="F474" s="89"/>
      <c r="G474" s="89"/>
      <c r="H474" s="89"/>
      <c r="I474" s="90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89"/>
      <c r="AE474" s="89"/>
      <c r="AF474" s="89"/>
      <c r="AG474" s="89"/>
      <c r="AH474" s="89"/>
      <c r="AI474" s="89"/>
      <c r="AJ474" s="89"/>
      <c r="AK474" s="89"/>
    </row>
    <row r="475" customFormat="false" ht="15.75" hidden="false" customHeight="true" outlineLevel="0" collapsed="false">
      <c r="A475" s="76"/>
      <c r="B475" s="76"/>
      <c r="C475" s="88"/>
      <c r="D475" s="89"/>
      <c r="E475" s="89"/>
      <c r="F475" s="89"/>
      <c r="G475" s="89"/>
      <c r="H475" s="89"/>
      <c r="I475" s="90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89"/>
    </row>
    <row r="476" customFormat="false" ht="15.75" hidden="false" customHeight="true" outlineLevel="0" collapsed="false">
      <c r="A476" s="76"/>
      <c r="B476" s="76"/>
      <c r="C476" s="88"/>
      <c r="D476" s="89"/>
      <c r="E476" s="89"/>
      <c r="F476" s="89"/>
      <c r="G476" s="89"/>
      <c r="H476" s="89"/>
      <c r="I476" s="90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89"/>
      <c r="AE476" s="89"/>
      <c r="AF476" s="89"/>
      <c r="AG476" s="89"/>
      <c r="AH476" s="89"/>
      <c r="AI476" s="89"/>
      <c r="AJ476" s="89"/>
      <c r="AK476" s="89"/>
    </row>
    <row r="477" customFormat="false" ht="15.75" hidden="false" customHeight="true" outlineLevel="0" collapsed="false">
      <c r="A477" s="76"/>
      <c r="B477" s="76"/>
      <c r="C477" s="88"/>
      <c r="D477" s="89"/>
      <c r="E477" s="89"/>
      <c r="F477" s="89"/>
      <c r="G477" s="89"/>
      <c r="H477" s="89"/>
      <c r="I477" s="90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89"/>
    </row>
    <row r="478" customFormat="false" ht="15.75" hidden="false" customHeight="true" outlineLevel="0" collapsed="false">
      <c r="A478" s="76"/>
      <c r="B478" s="76"/>
      <c r="C478" s="88"/>
      <c r="D478" s="89"/>
      <c r="E478" s="89"/>
      <c r="F478" s="89"/>
      <c r="G478" s="89"/>
      <c r="H478" s="89"/>
      <c r="I478" s="90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89"/>
    </row>
    <row r="479" customFormat="false" ht="15.75" hidden="false" customHeight="true" outlineLevel="0" collapsed="false">
      <c r="A479" s="76"/>
      <c r="B479" s="76"/>
      <c r="C479" s="88"/>
      <c r="D479" s="89"/>
      <c r="E479" s="89"/>
      <c r="F479" s="89"/>
      <c r="G479" s="89"/>
      <c r="H479" s="89"/>
      <c r="I479" s="90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89"/>
    </row>
    <row r="480" customFormat="false" ht="15.75" hidden="false" customHeight="true" outlineLevel="0" collapsed="false">
      <c r="A480" s="76"/>
      <c r="B480" s="76"/>
      <c r="C480" s="88"/>
      <c r="D480" s="89"/>
      <c r="E480" s="89"/>
      <c r="F480" s="89"/>
      <c r="G480" s="89"/>
      <c r="H480" s="89"/>
      <c r="I480" s="90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89"/>
    </row>
    <row r="481" customFormat="false" ht="15.75" hidden="false" customHeight="true" outlineLevel="0" collapsed="false">
      <c r="A481" s="76"/>
      <c r="B481" s="76"/>
      <c r="C481" s="88"/>
      <c r="D481" s="89"/>
      <c r="E481" s="89"/>
      <c r="F481" s="89"/>
      <c r="G481" s="89"/>
      <c r="H481" s="89"/>
      <c r="I481" s="90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89"/>
    </row>
    <row r="482" customFormat="false" ht="15.75" hidden="false" customHeight="true" outlineLevel="0" collapsed="false">
      <c r="A482" s="76"/>
      <c r="B482" s="76"/>
      <c r="C482" s="88"/>
      <c r="D482" s="89"/>
      <c r="E482" s="89"/>
      <c r="F482" s="89"/>
      <c r="G482" s="89"/>
      <c r="H482" s="89"/>
      <c r="I482" s="90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89"/>
    </row>
    <row r="483" customFormat="false" ht="15.75" hidden="false" customHeight="true" outlineLevel="0" collapsed="false">
      <c r="A483" s="76"/>
      <c r="B483" s="76"/>
      <c r="C483" s="88"/>
      <c r="D483" s="89"/>
      <c r="E483" s="89"/>
      <c r="F483" s="89"/>
      <c r="G483" s="89"/>
      <c r="H483" s="89"/>
      <c r="I483" s="90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89"/>
    </row>
    <row r="484" customFormat="false" ht="15.75" hidden="false" customHeight="true" outlineLevel="0" collapsed="false">
      <c r="A484" s="76"/>
      <c r="B484" s="76"/>
      <c r="C484" s="88"/>
      <c r="D484" s="89"/>
      <c r="E484" s="89"/>
      <c r="F484" s="89"/>
      <c r="G484" s="89"/>
      <c r="H484" s="89"/>
      <c r="I484" s="90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89"/>
    </row>
    <row r="485" customFormat="false" ht="15.75" hidden="false" customHeight="true" outlineLevel="0" collapsed="false">
      <c r="A485" s="76"/>
      <c r="B485" s="76"/>
      <c r="C485" s="88"/>
      <c r="D485" s="89"/>
      <c r="E485" s="89"/>
      <c r="F485" s="89"/>
      <c r="G485" s="89"/>
      <c r="H485" s="89"/>
      <c r="I485" s="90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89"/>
    </row>
    <row r="486" customFormat="false" ht="15.75" hidden="false" customHeight="true" outlineLevel="0" collapsed="false">
      <c r="A486" s="76"/>
      <c r="B486" s="76"/>
      <c r="C486" s="88"/>
      <c r="D486" s="89"/>
      <c r="E486" s="89"/>
      <c r="F486" s="89"/>
      <c r="G486" s="89"/>
      <c r="H486" s="89"/>
      <c r="I486" s="90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89"/>
    </row>
    <row r="487" customFormat="false" ht="15.75" hidden="false" customHeight="true" outlineLevel="0" collapsed="false">
      <c r="A487" s="76"/>
      <c r="B487" s="76"/>
      <c r="C487" s="88"/>
      <c r="D487" s="89"/>
      <c r="E487" s="89"/>
      <c r="F487" s="89"/>
      <c r="G487" s="89"/>
      <c r="H487" s="89"/>
      <c r="I487" s="90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89"/>
    </row>
    <row r="488" customFormat="false" ht="15.75" hidden="false" customHeight="true" outlineLevel="0" collapsed="false">
      <c r="A488" s="76"/>
      <c r="B488" s="76"/>
      <c r="C488" s="88"/>
      <c r="D488" s="89"/>
      <c r="E488" s="89"/>
      <c r="F488" s="89"/>
      <c r="G488" s="89"/>
      <c r="H488" s="89"/>
      <c r="I488" s="90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89"/>
    </row>
    <row r="489" customFormat="false" ht="15.75" hidden="false" customHeight="true" outlineLevel="0" collapsed="false">
      <c r="A489" s="76"/>
      <c r="B489" s="76"/>
      <c r="C489" s="88"/>
      <c r="D489" s="89"/>
      <c r="E489" s="89"/>
      <c r="F489" s="89"/>
      <c r="G489" s="89"/>
      <c r="H489" s="89"/>
      <c r="I489" s="90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89"/>
    </row>
    <row r="490" customFormat="false" ht="15.75" hidden="false" customHeight="true" outlineLevel="0" collapsed="false">
      <c r="A490" s="76"/>
      <c r="B490" s="76"/>
      <c r="C490" s="88"/>
      <c r="D490" s="89"/>
      <c r="E490" s="89"/>
      <c r="F490" s="89"/>
      <c r="G490" s="89"/>
      <c r="H490" s="89"/>
      <c r="I490" s="90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89"/>
    </row>
    <row r="491" customFormat="false" ht="15.75" hidden="false" customHeight="true" outlineLevel="0" collapsed="false">
      <c r="A491" s="76"/>
      <c r="B491" s="76"/>
      <c r="C491" s="88"/>
      <c r="D491" s="89"/>
      <c r="E491" s="89"/>
      <c r="F491" s="89"/>
      <c r="G491" s="89"/>
      <c r="H491" s="89"/>
      <c r="I491" s="90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</row>
    <row r="492" customFormat="false" ht="15.75" hidden="false" customHeight="true" outlineLevel="0" collapsed="false">
      <c r="A492" s="76"/>
      <c r="B492" s="76"/>
      <c r="C492" s="88"/>
      <c r="D492" s="89"/>
      <c r="E492" s="89"/>
      <c r="F492" s="89"/>
      <c r="G492" s="89"/>
      <c r="H492" s="89"/>
      <c r="I492" s="90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</row>
    <row r="493" customFormat="false" ht="15.75" hidden="false" customHeight="true" outlineLevel="0" collapsed="false">
      <c r="A493" s="76"/>
      <c r="B493" s="76"/>
      <c r="C493" s="88"/>
      <c r="D493" s="89"/>
      <c r="E493" s="89"/>
      <c r="F493" s="89"/>
      <c r="G493" s="89"/>
      <c r="H493" s="89"/>
      <c r="I493" s="90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</row>
    <row r="494" customFormat="false" ht="15.75" hidden="false" customHeight="true" outlineLevel="0" collapsed="false">
      <c r="A494" s="76"/>
      <c r="B494" s="76"/>
      <c r="C494" s="88"/>
      <c r="D494" s="89"/>
      <c r="E494" s="89"/>
      <c r="F494" s="89"/>
      <c r="G494" s="89"/>
      <c r="H494" s="89"/>
      <c r="I494" s="90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</row>
    <row r="495" customFormat="false" ht="15.75" hidden="false" customHeight="true" outlineLevel="0" collapsed="false">
      <c r="A495" s="76"/>
      <c r="B495" s="76"/>
      <c r="C495" s="88"/>
      <c r="D495" s="89"/>
      <c r="E495" s="89"/>
      <c r="F495" s="89"/>
      <c r="G495" s="89"/>
      <c r="H495" s="89"/>
      <c r="I495" s="90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</row>
    <row r="496" customFormat="false" ht="15.75" hidden="false" customHeight="true" outlineLevel="0" collapsed="false">
      <c r="A496" s="76"/>
      <c r="B496" s="76"/>
      <c r="C496" s="88"/>
      <c r="D496" s="89"/>
      <c r="E496" s="89"/>
      <c r="F496" s="89"/>
      <c r="G496" s="89"/>
      <c r="H496" s="89"/>
      <c r="I496" s="90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89"/>
    </row>
    <row r="497" customFormat="false" ht="15.75" hidden="false" customHeight="true" outlineLevel="0" collapsed="false">
      <c r="A497" s="76"/>
      <c r="B497" s="76"/>
      <c r="C497" s="88"/>
      <c r="D497" s="89"/>
      <c r="E497" s="89"/>
      <c r="F497" s="89"/>
      <c r="G497" s="89"/>
      <c r="H497" s="89"/>
      <c r="I497" s="90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89"/>
    </row>
    <row r="498" customFormat="false" ht="15.75" hidden="false" customHeight="true" outlineLevel="0" collapsed="false">
      <c r="A498" s="76"/>
      <c r="B498" s="76"/>
      <c r="C498" s="88"/>
      <c r="D498" s="89"/>
      <c r="E498" s="89"/>
      <c r="F498" s="89"/>
      <c r="G498" s="89"/>
      <c r="H498" s="89"/>
      <c r="I498" s="90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89"/>
      <c r="AE498" s="89"/>
      <c r="AF498" s="89"/>
      <c r="AG498" s="89"/>
      <c r="AH498" s="89"/>
      <c r="AI498" s="89"/>
      <c r="AJ498" s="89"/>
      <c r="AK498" s="89"/>
    </row>
    <row r="499" customFormat="false" ht="15.75" hidden="false" customHeight="true" outlineLevel="0" collapsed="false">
      <c r="A499" s="76"/>
      <c r="B499" s="76"/>
      <c r="C499" s="88"/>
      <c r="D499" s="89"/>
      <c r="E499" s="89"/>
      <c r="F499" s="89"/>
      <c r="G499" s="89"/>
      <c r="H499" s="89"/>
      <c r="I499" s="90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89"/>
    </row>
    <row r="500" customFormat="false" ht="15.75" hidden="false" customHeight="true" outlineLevel="0" collapsed="false">
      <c r="A500" s="76"/>
      <c r="B500" s="76"/>
      <c r="C500" s="88"/>
      <c r="D500" s="89"/>
      <c r="E500" s="89"/>
      <c r="F500" s="89"/>
      <c r="G500" s="89"/>
      <c r="H500" s="89"/>
      <c r="I500" s="90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89"/>
      <c r="AE500" s="89"/>
      <c r="AF500" s="89"/>
      <c r="AG500" s="89"/>
      <c r="AH500" s="89"/>
      <c r="AI500" s="89"/>
      <c r="AJ500" s="89"/>
      <c r="AK500" s="89"/>
    </row>
    <row r="501" customFormat="false" ht="15.75" hidden="false" customHeight="true" outlineLevel="0" collapsed="false">
      <c r="A501" s="76"/>
      <c r="B501" s="76"/>
      <c r="C501" s="88"/>
      <c r="D501" s="89"/>
      <c r="E501" s="89"/>
      <c r="F501" s="89"/>
      <c r="G501" s="89"/>
      <c r="H501" s="89"/>
      <c r="I501" s="90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</row>
    <row r="502" customFormat="false" ht="15.75" hidden="false" customHeight="true" outlineLevel="0" collapsed="false">
      <c r="A502" s="76"/>
      <c r="B502" s="76"/>
      <c r="C502" s="88"/>
      <c r="D502" s="89"/>
      <c r="E502" s="89"/>
      <c r="F502" s="89"/>
      <c r="G502" s="89"/>
      <c r="H502" s="89"/>
      <c r="I502" s="90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89"/>
      <c r="AE502" s="89"/>
      <c r="AF502" s="89"/>
      <c r="AG502" s="89"/>
      <c r="AH502" s="89"/>
      <c r="AI502" s="89"/>
      <c r="AJ502" s="89"/>
      <c r="AK502" s="89"/>
    </row>
    <row r="503" customFormat="false" ht="15.75" hidden="false" customHeight="true" outlineLevel="0" collapsed="false">
      <c r="A503" s="76"/>
      <c r="B503" s="76"/>
      <c r="C503" s="88"/>
      <c r="D503" s="89"/>
      <c r="E503" s="89"/>
      <c r="F503" s="89"/>
      <c r="G503" s="89"/>
      <c r="H503" s="89"/>
      <c r="I503" s="90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89"/>
    </row>
    <row r="504" customFormat="false" ht="15.75" hidden="false" customHeight="true" outlineLevel="0" collapsed="false">
      <c r="A504" s="76"/>
      <c r="B504" s="76"/>
      <c r="C504" s="88"/>
      <c r="D504" s="89"/>
      <c r="E504" s="89"/>
      <c r="F504" s="89"/>
      <c r="G504" s="89"/>
      <c r="H504" s="89"/>
      <c r="I504" s="90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89"/>
    </row>
    <row r="505" customFormat="false" ht="15.75" hidden="false" customHeight="true" outlineLevel="0" collapsed="false">
      <c r="A505" s="76"/>
      <c r="B505" s="76"/>
      <c r="C505" s="88"/>
      <c r="D505" s="89"/>
      <c r="E505" s="89"/>
      <c r="F505" s="89"/>
      <c r="G505" s="89"/>
      <c r="H505" s="89"/>
      <c r="I505" s="90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89"/>
    </row>
    <row r="506" customFormat="false" ht="15.75" hidden="false" customHeight="true" outlineLevel="0" collapsed="false">
      <c r="A506" s="76"/>
      <c r="B506" s="76"/>
      <c r="C506" s="88"/>
      <c r="D506" s="89"/>
      <c r="E506" s="89"/>
      <c r="F506" s="89"/>
      <c r="G506" s="89"/>
      <c r="H506" s="89"/>
      <c r="I506" s="90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89"/>
    </row>
    <row r="507" customFormat="false" ht="15.75" hidden="false" customHeight="true" outlineLevel="0" collapsed="false">
      <c r="A507" s="76"/>
      <c r="B507" s="76"/>
      <c r="C507" s="88"/>
      <c r="D507" s="89"/>
      <c r="E507" s="89"/>
      <c r="F507" s="89"/>
      <c r="G507" s="89"/>
      <c r="H507" s="89"/>
      <c r="I507" s="90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89"/>
    </row>
    <row r="508" customFormat="false" ht="15.75" hidden="false" customHeight="true" outlineLevel="0" collapsed="false">
      <c r="A508" s="76"/>
      <c r="B508" s="76"/>
      <c r="C508" s="88"/>
      <c r="D508" s="89"/>
      <c r="E508" s="89"/>
      <c r="F508" s="89"/>
      <c r="G508" s="89"/>
      <c r="H508" s="89"/>
      <c r="I508" s="90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89"/>
    </row>
    <row r="509" customFormat="false" ht="15.75" hidden="false" customHeight="true" outlineLevel="0" collapsed="false">
      <c r="A509" s="76"/>
      <c r="B509" s="76"/>
      <c r="C509" s="88"/>
      <c r="D509" s="89"/>
      <c r="E509" s="89"/>
      <c r="F509" s="89"/>
      <c r="G509" s="89"/>
      <c r="H509" s="89"/>
      <c r="I509" s="90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89"/>
    </row>
    <row r="510" customFormat="false" ht="15.75" hidden="false" customHeight="true" outlineLevel="0" collapsed="false">
      <c r="A510" s="76"/>
      <c r="B510" s="76"/>
      <c r="C510" s="88"/>
      <c r="D510" s="89"/>
      <c r="E510" s="89"/>
      <c r="F510" s="89"/>
      <c r="G510" s="89"/>
      <c r="H510" s="89"/>
      <c r="I510" s="90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89"/>
      <c r="AE510" s="89"/>
      <c r="AF510" s="89"/>
      <c r="AG510" s="89"/>
      <c r="AH510" s="89"/>
      <c r="AI510" s="89"/>
      <c r="AJ510" s="89"/>
      <c r="AK510" s="89"/>
    </row>
    <row r="511" customFormat="false" ht="15.75" hidden="false" customHeight="true" outlineLevel="0" collapsed="false">
      <c r="A511" s="76"/>
      <c r="B511" s="76"/>
      <c r="C511" s="88"/>
      <c r="D511" s="89"/>
      <c r="E511" s="89"/>
      <c r="F511" s="89"/>
      <c r="G511" s="89"/>
      <c r="H511" s="89"/>
      <c r="I511" s="90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89"/>
    </row>
    <row r="512" customFormat="false" ht="15.75" hidden="false" customHeight="true" outlineLevel="0" collapsed="false">
      <c r="A512" s="76"/>
      <c r="B512" s="76"/>
      <c r="C512" s="88"/>
      <c r="D512" s="89"/>
      <c r="E512" s="89"/>
      <c r="F512" s="89"/>
      <c r="G512" s="89"/>
      <c r="H512" s="89"/>
      <c r="I512" s="90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89"/>
    </row>
    <row r="513" customFormat="false" ht="15.75" hidden="false" customHeight="true" outlineLevel="0" collapsed="false">
      <c r="A513" s="76"/>
      <c r="B513" s="76"/>
      <c r="C513" s="88"/>
      <c r="D513" s="89"/>
      <c r="E513" s="89"/>
      <c r="F513" s="89"/>
      <c r="G513" s="89"/>
      <c r="H513" s="89"/>
      <c r="I513" s="90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89"/>
    </row>
    <row r="514" customFormat="false" ht="15.75" hidden="false" customHeight="true" outlineLevel="0" collapsed="false">
      <c r="A514" s="76"/>
      <c r="B514" s="76"/>
      <c r="C514" s="88"/>
      <c r="D514" s="89"/>
      <c r="E514" s="89"/>
      <c r="F514" s="89"/>
      <c r="G514" s="89"/>
      <c r="H514" s="89"/>
      <c r="I514" s="90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89"/>
      <c r="AE514" s="89"/>
      <c r="AF514" s="89"/>
      <c r="AG514" s="89"/>
      <c r="AH514" s="89"/>
      <c r="AI514" s="89"/>
      <c r="AJ514" s="89"/>
      <c r="AK514" s="89"/>
    </row>
    <row r="515" customFormat="false" ht="15.75" hidden="false" customHeight="true" outlineLevel="0" collapsed="false">
      <c r="A515" s="76"/>
      <c r="B515" s="76"/>
      <c r="C515" s="88"/>
      <c r="D515" s="89"/>
      <c r="E515" s="89"/>
      <c r="F515" s="89"/>
      <c r="G515" s="89"/>
      <c r="H515" s="89"/>
      <c r="I515" s="90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89"/>
    </row>
    <row r="516" customFormat="false" ht="15.75" hidden="false" customHeight="true" outlineLevel="0" collapsed="false">
      <c r="A516" s="76"/>
      <c r="B516" s="76"/>
      <c r="C516" s="88"/>
      <c r="D516" s="89"/>
      <c r="E516" s="89"/>
      <c r="F516" s="89"/>
      <c r="G516" s="89"/>
      <c r="H516" s="89"/>
      <c r="I516" s="90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89"/>
    </row>
    <row r="517" customFormat="false" ht="15.75" hidden="false" customHeight="true" outlineLevel="0" collapsed="false">
      <c r="A517" s="76"/>
      <c r="B517" s="76"/>
      <c r="C517" s="88"/>
      <c r="D517" s="89"/>
      <c r="E517" s="89"/>
      <c r="F517" s="89"/>
      <c r="G517" s="89"/>
      <c r="H517" s="89"/>
      <c r="I517" s="90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89"/>
    </row>
    <row r="518" customFormat="false" ht="15.75" hidden="false" customHeight="true" outlineLevel="0" collapsed="false">
      <c r="A518" s="76"/>
      <c r="B518" s="76"/>
      <c r="C518" s="88"/>
      <c r="D518" s="89"/>
      <c r="E518" s="89"/>
      <c r="F518" s="89"/>
      <c r="G518" s="89"/>
      <c r="H518" s="89"/>
      <c r="I518" s="90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</row>
    <row r="519" customFormat="false" ht="15.75" hidden="false" customHeight="true" outlineLevel="0" collapsed="false">
      <c r="A519" s="76"/>
      <c r="B519" s="76"/>
      <c r="C519" s="88"/>
      <c r="D519" s="89"/>
      <c r="E519" s="89"/>
      <c r="F519" s="89"/>
      <c r="G519" s="89"/>
      <c r="H519" s="89"/>
      <c r="I519" s="90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  <c r="AD519" s="89"/>
      <c r="AE519" s="89"/>
      <c r="AF519" s="89"/>
      <c r="AG519" s="89"/>
      <c r="AH519" s="89"/>
      <c r="AI519" s="89"/>
      <c r="AJ519" s="89"/>
      <c r="AK519" s="89"/>
    </row>
    <row r="520" customFormat="false" ht="15.75" hidden="false" customHeight="true" outlineLevel="0" collapsed="false">
      <c r="A520" s="76"/>
      <c r="B520" s="76"/>
      <c r="C520" s="88"/>
      <c r="D520" s="89"/>
      <c r="E520" s="89"/>
      <c r="F520" s="89"/>
      <c r="G520" s="89"/>
      <c r="H520" s="89"/>
      <c r="I520" s="90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89"/>
    </row>
    <row r="521" customFormat="false" ht="15.75" hidden="false" customHeight="true" outlineLevel="0" collapsed="false">
      <c r="A521" s="76"/>
      <c r="B521" s="76"/>
      <c r="C521" s="88"/>
      <c r="D521" s="89"/>
      <c r="E521" s="89"/>
      <c r="F521" s="89"/>
      <c r="G521" s="89"/>
      <c r="H521" s="89"/>
      <c r="I521" s="90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</row>
    <row r="522" customFormat="false" ht="15.75" hidden="false" customHeight="true" outlineLevel="0" collapsed="false">
      <c r="A522" s="76"/>
      <c r="B522" s="76"/>
      <c r="C522" s="88"/>
      <c r="D522" s="89"/>
      <c r="E522" s="89"/>
      <c r="F522" s="89"/>
      <c r="G522" s="89"/>
      <c r="H522" s="89"/>
      <c r="I522" s="90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</row>
    <row r="523" customFormat="false" ht="15.75" hidden="false" customHeight="true" outlineLevel="0" collapsed="false">
      <c r="A523" s="76"/>
      <c r="B523" s="76"/>
      <c r="C523" s="88"/>
      <c r="D523" s="89"/>
      <c r="E523" s="89"/>
      <c r="F523" s="89"/>
      <c r="G523" s="89"/>
      <c r="H523" s="89"/>
      <c r="I523" s="90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89"/>
    </row>
    <row r="524" customFormat="false" ht="15.75" hidden="false" customHeight="true" outlineLevel="0" collapsed="false">
      <c r="A524" s="76"/>
      <c r="B524" s="76"/>
      <c r="C524" s="88"/>
      <c r="D524" s="89"/>
      <c r="E524" s="89"/>
      <c r="F524" s="89"/>
      <c r="G524" s="89"/>
      <c r="H524" s="89"/>
      <c r="I524" s="90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89"/>
    </row>
    <row r="525" customFormat="false" ht="15.75" hidden="false" customHeight="true" outlineLevel="0" collapsed="false">
      <c r="A525" s="76"/>
      <c r="B525" s="76"/>
      <c r="C525" s="88"/>
      <c r="D525" s="89"/>
      <c r="E525" s="89"/>
      <c r="F525" s="89"/>
      <c r="G525" s="89"/>
      <c r="H525" s="89"/>
      <c r="I525" s="90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  <c r="AD525" s="89"/>
      <c r="AE525" s="89"/>
      <c r="AF525" s="89"/>
      <c r="AG525" s="89"/>
      <c r="AH525" s="89"/>
      <c r="AI525" s="89"/>
      <c r="AJ525" s="89"/>
      <c r="AK525" s="89"/>
    </row>
    <row r="526" customFormat="false" ht="15.75" hidden="false" customHeight="true" outlineLevel="0" collapsed="false">
      <c r="A526" s="76"/>
      <c r="B526" s="76"/>
      <c r="C526" s="88"/>
      <c r="D526" s="89"/>
      <c r="E526" s="89"/>
      <c r="F526" s="89"/>
      <c r="G526" s="89"/>
      <c r="H526" s="89"/>
      <c r="I526" s="90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89"/>
    </row>
    <row r="527" customFormat="false" ht="15.75" hidden="false" customHeight="true" outlineLevel="0" collapsed="false">
      <c r="A527" s="76"/>
      <c r="B527" s="76"/>
      <c r="C527" s="88"/>
      <c r="D527" s="89"/>
      <c r="E527" s="89"/>
      <c r="F527" s="89"/>
      <c r="G527" s="89"/>
      <c r="H527" s="89"/>
      <c r="I527" s="90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  <c r="AD527" s="89"/>
      <c r="AE527" s="89"/>
      <c r="AF527" s="89"/>
      <c r="AG527" s="89"/>
      <c r="AH527" s="89"/>
      <c r="AI527" s="89"/>
      <c r="AJ527" s="89"/>
      <c r="AK527" s="89"/>
    </row>
    <row r="528" customFormat="false" ht="15.75" hidden="false" customHeight="true" outlineLevel="0" collapsed="false">
      <c r="A528" s="76"/>
      <c r="B528" s="76"/>
      <c r="C528" s="88"/>
      <c r="D528" s="89"/>
      <c r="E528" s="89"/>
      <c r="F528" s="89"/>
      <c r="G528" s="89"/>
      <c r="H528" s="89"/>
      <c r="I528" s="90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89"/>
    </row>
    <row r="529" customFormat="false" ht="15.75" hidden="false" customHeight="true" outlineLevel="0" collapsed="false">
      <c r="A529" s="76"/>
      <c r="B529" s="76"/>
      <c r="C529" s="88"/>
      <c r="D529" s="89"/>
      <c r="E529" s="89"/>
      <c r="F529" s="89"/>
      <c r="G529" s="89"/>
      <c r="H529" s="89"/>
      <c r="I529" s="90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  <c r="AD529" s="89"/>
      <c r="AE529" s="89"/>
      <c r="AF529" s="89"/>
      <c r="AG529" s="89"/>
      <c r="AH529" s="89"/>
      <c r="AI529" s="89"/>
      <c r="AJ529" s="89"/>
      <c r="AK529" s="89"/>
    </row>
    <row r="530" customFormat="false" ht="15.75" hidden="false" customHeight="true" outlineLevel="0" collapsed="false">
      <c r="A530" s="76"/>
      <c r="B530" s="76"/>
      <c r="C530" s="88"/>
      <c r="D530" s="89"/>
      <c r="E530" s="89"/>
      <c r="F530" s="89"/>
      <c r="G530" s="89"/>
      <c r="H530" s="89"/>
      <c r="I530" s="90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89"/>
    </row>
    <row r="531" customFormat="false" ht="15.75" hidden="false" customHeight="true" outlineLevel="0" collapsed="false">
      <c r="A531" s="76"/>
      <c r="B531" s="76"/>
      <c r="C531" s="88"/>
      <c r="D531" s="89"/>
      <c r="E531" s="89"/>
      <c r="F531" s="89"/>
      <c r="G531" s="89"/>
      <c r="H531" s="89"/>
      <c r="I531" s="90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  <c r="AD531" s="89"/>
      <c r="AE531" s="89"/>
      <c r="AF531" s="89"/>
      <c r="AG531" s="89"/>
      <c r="AH531" s="89"/>
      <c r="AI531" s="89"/>
      <c r="AJ531" s="89"/>
      <c r="AK531" s="89"/>
    </row>
    <row r="532" customFormat="false" ht="15.75" hidden="false" customHeight="true" outlineLevel="0" collapsed="false">
      <c r="A532" s="76"/>
      <c r="B532" s="76"/>
      <c r="C532" s="88"/>
      <c r="D532" s="89"/>
      <c r="E532" s="89"/>
      <c r="F532" s="89"/>
      <c r="G532" s="89"/>
      <c r="H532" s="89"/>
      <c r="I532" s="90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</row>
    <row r="533" customFormat="false" ht="15.75" hidden="false" customHeight="true" outlineLevel="0" collapsed="false">
      <c r="A533" s="76"/>
      <c r="B533" s="76"/>
      <c r="C533" s="88"/>
      <c r="D533" s="89"/>
      <c r="E533" s="89"/>
      <c r="F533" s="89"/>
      <c r="G533" s="89"/>
      <c r="H533" s="89"/>
      <c r="I533" s="90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89"/>
    </row>
    <row r="534" customFormat="false" ht="15.75" hidden="false" customHeight="true" outlineLevel="0" collapsed="false">
      <c r="A534" s="76"/>
      <c r="B534" s="76"/>
      <c r="C534" s="88"/>
      <c r="D534" s="89"/>
      <c r="E534" s="89"/>
      <c r="F534" s="89"/>
      <c r="G534" s="89"/>
      <c r="H534" s="89"/>
      <c r="I534" s="90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</row>
    <row r="535" customFormat="false" ht="15.75" hidden="false" customHeight="true" outlineLevel="0" collapsed="false">
      <c r="A535" s="76"/>
      <c r="B535" s="76"/>
      <c r="C535" s="88"/>
      <c r="D535" s="89"/>
      <c r="E535" s="89"/>
      <c r="F535" s="89"/>
      <c r="G535" s="89"/>
      <c r="H535" s="89"/>
      <c r="I535" s="90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</row>
    <row r="536" customFormat="false" ht="15.75" hidden="false" customHeight="true" outlineLevel="0" collapsed="false">
      <c r="A536" s="76"/>
      <c r="B536" s="76"/>
      <c r="C536" s="88"/>
      <c r="D536" s="89"/>
      <c r="E536" s="89"/>
      <c r="F536" s="89"/>
      <c r="G536" s="89"/>
      <c r="H536" s="89"/>
      <c r="I536" s="90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</row>
    <row r="537" customFormat="false" ht="15.75" hidden="false" customHeight="true" outlineLevel="0" collapsed="false">
      <c r="A537" s="76"/>
      <c r="B537" s="76"/>
      <c r="C537" s="88"/>
      <c r="D537" s="89"/>
      <c r="E537" s="89"/>
      <c r="F537" s="89"/>
      <c r="G537" s="89"/>
      <c r="H537" s="89"/>
      <c r="I537" s="90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  <c r="AD537" s="89"/>
      <c r="AE537" s="89"/>
      <c r="AF537" s="89"/>
      <c r="AG537" s="89"/>
      <c r="AH537" s="89"/>
      <c r="AI537" s="89"/>
      <c r="AJ537" s="89"/>
      <c r="AK537" s="89"/>
    </row>
    <row r="538" customFormat="false" ht="15.75" hidden="false" customHeight="true" outlineLevel="0" collapsed="false">
      <c r="A538" s="76"/>
      <c r="B538" s="76"/>
      <c r="C538" s="88"/>
      <c r="D538" s="89"/>
      <c r="E538" s="89"/>
      <c r="F538" s="89"/>
      <c r="G538" s="89"/>
      <c r="H538" s="89"/>
      <c r="I538" s="90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89"/>
    </row>
    <row r="539" customFormat="false" ht="15.75" hidden="false" customHeight="true" outlineLevel="0" collapsed="false">
      <c r="A539" s="76"/>
      <c r="B539" s="76"/>
      <c r="C539" s="88"/>
      <c r="D539" s="89"/>
      <c r="E539" s="89"/>
      <c r="F539" s="89"/>
      <c r="G539" s="89"/>
      <c r="H539" s="89"/>
      <c r="I539" s="90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  <c r="AD539" s="89"/>
      <c r="AE539" s="89"/>
      <c r="AF539" s="89"/>
      <c r="AG539" s="89"/>
      <c r="AH539" s="89"/>
      <c r="AI539" s="89"/>
      <c r="AJ539" s="89"/>
      <c r="AK539" s="89"/>
    </row>
    <row r="540" customFormat="false" ht="15.75" hidden="false" customHeight="true" outlineLevel="0" collapsed="false">
      <c r="A540" s="76"/>
      <c r="B540" s="76"/>
      <c r="C540" s="88"/>
      <c r="D540" s="89"/>
      <c r="E540" s="89"/>
      <c r="F540" s="89"/>
      <c r="G540" s="89"/>
      <c r="H540" s="89"/>
      <c r="I540" s="90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89"/>
    </row>
    <row r="541" customFormat="false" ht="15.75" hidden="false" customHeight="true" outlineLevel="0" collapsed="false">
      <c r="A541" s="76"/>
      <c r="B541" s="76"/>
      <c r="C541" s="88"/>
      <c r="D541" s="89"/>
      <c r="E541" s="89"/>
      <c r="F541" s="89"/>
      <c r="G541" s="89"/>
      <c r="H541" s="89"/>
      <c r="I541" s="90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  <c r="AD541" s="89"/>
      <c r="AE541" s="89"/>
      <c r="AF541" s="89"/>
      <c r="AG541" s="89"/>
      <c r="AH541" s="89"/>
      <c r="AI541" s="89"/>
      <c r="AJ541" s="89"/>
      <c r="AK541" s="89"/>
    </row>
    <row r="542" customFormat="false" ht="15.75" hidden="false" customHeight="true" outlineLevel="0" collapsed="false">
      <c r="A542" s="76"/>
      <c r="B542" s="76"/>
      <c r="C542" s="88"/>
      <c r="D542" s="89"/>
      <c r="E542" s="89"/>
      <c r="F542" s="89"/>
      <c r="G542" s="89"/>
      <c r="H542" s="89"/>
      <c r="I542" s="90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89"/>
    </row>
    <row r="543" customFormat="false" ht="15.75" hidden="false" customHeight="true" outlineLevel="0" collapsed="false">
      <c r="A543" s="76"/>
      <c r="B543" s="76"/>
      <c r="C543" s="88"/>
      <c r="D543" s="89"/>
      <c r="E543" s="89"/>
      <c r="F543" s="89"/>
      <c r="G543" s="89"/>
      <c r="H543" s="89"/>
      <c r="I543" s="90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  <c r="AD543" s="89"/>
      <c r="AE543" s="89"/>
      <c r="AF543" s="89"/>
      <c r="AG543" s="89"/>
      <c r="AH543" s="89"/>
      <c r="AI543" s="89"/>
      <c r="AJ543" s="89"/>
      <c r="AK543" s="89"/>
    </row>
    <row r="544" customFormat="false" ht="15.75" hidden="false" customHeight="true" outlineLevel="0" collapsed="false">
      <c r="A544" s="76"/>
      <c r="B544" s="76"/>
      <c r="C544" s="88"/>
      <c r="D544" s="89"/>
      <c r="E544" s="89"/>
      <c r="F544" s="89"/>
      <c r="G544" s="89"/>
      <c r="H544" s="89"/>
      <c r="I544" s="90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89"/>
      <c r="AE544" s="89"/>
      <c r="AF544" s="89"/>
      <c r="AG544" s="89"/>
      <c r="AH544" s="89"/>
      <c r="AI544" s="89"/>
      <c r="AJ544" s="89"/>
      <c r="AK544" s="89"/>
    </row>
    <row r="545" customFormat="false" ht="15.75" hidden="false" customHeight="true" outlineLevel="0" collapsed="false">
      <c r="A545" s="76"/>
      <c r="B545" s="76"/>
      <c r="C545" s="88"/>
      <c r="D545" s="89"/>
      <c r="E545" s="89"/>
      <c r="F545" s="89"/>
      <c r="G545" s="89"/>
      <c r="H545" s="89"/>
      <c r="I545" s="90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  <c r="AD545" s="89"/>
      <c r="AE545" s="89"/>
      <c r="AF545" s="89"/>
      <c r="AG545" s="89"/>
      <c r="AH545" s="89"/>
      <c r="AI545" s="89"/>
      <c r="AJ545" s="89"/>
      <c r="AK545" s="89"/>
    </row>
    <row r="546" customFormat="false" ht="15.75" hidden="false" customHeight="true" outlineLevel="0" collapsed="false">
      <c r="A546" s="76"/>
      <c r="B546" s="76"/>
      <c r="C546" s="88"/>
      <c r="D546" s="89"/>
      <c r="E546" s="89"/>
      <c r="F546" s="89"/>
      <c r="G546" s="89"/>
      <c r="H546" s="89"/>
      <c r="I546" s="90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89"/>
    </row>
    <row r="547" customFormat="false" ht="15.75" hidden="false" customHeight="true" outlineLevel="0" collapsed="false">
      <c r="A547" s="76"/>
      <c r="B547" s="76"/>
      <c r="C547" s="88"/>
      <c r="D547" s="89"/>
      <c r="E547" s="89"/>
      <c r="F547" s="89"/>
      <c r="G547" s="89"/>
      <c r="H547" s="89"/>
      <c r="I547" s="90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  <c r="AD547" s="89"/>
      <c r="AE547" s="89"/>
      <c r="AF547" s="89"/>
      <c r="AG547" s="89"/>
      <c r="AH547" s="89"/>
      <c r="AI547" s="89"/>
      <c r="AJ547" s="89"/>
      <c r="AK547" s="89"/>
    </row>
    <row r="548" customFormat="false" ht="15.75" hidden="false" customHeight="true" outlineLevel="0" collapsed="false">
      <c r="A548" s="76"/>
      <c r="B548" s="76"/>
      <c r="C548" s="88"/>
      <c r="D548" s="89"/>
      <c r="E548" s="89"/>
      <c r="F548" s="89"/>
      <c r="G548" s="89"/>
      <c r="H548" s="89"/>
      <c r="I548" s="90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</row>
    <row r="549" customFormat="false" ht="15.75" hidden="false" customHeight="true" outlineLevel="0" collapsed="false">
      <c r="A549" s="76"/>
      <c r="B549" s="76"/>
      <c r="C549" s="88"/>
      <c r="D549" s="89"/>
      <c r="E549" s="89"/>
      <c r="F549" s="89"/>
      <c r="G549" s="89"/>
      <c r="H549" s="89"/>
      <c r="I549" s="90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</row>
    <row r="550" customFormat="false" ht="15.75" hidden="false" customHeight="true" outlineLevel="0" collapsed="false">
      <c r="A550" s="76"/>
      <c r="B550" s="76"/>
      <c r="C550" s="88"/>
      <c r="D550" s="89"/>
      <c r="E550" s="89"/>
      <c r="F550" s="89"/>
      <c r="G550" s="89"/>
      <c r="H550" s="89"/>
      <c r="I550" s="90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</row>
    <row r="551" customFormat="false" ht="15.75" hidden="false" customHeight="true" outlineLevel="0" collapsed="false">
      <c r="A551" s="76"/>
      <c r="B551" s="76"/>
      <c r="C551" s="88"/>
      <c r="D551" s="89"/>
      <c r="E551" s="89"/>
      <c r="F551" s="89"/>
      <c r="G551" s="89"/>
      <c r="H551" s="89"/>
      <c r="I551" s="90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  <c r="AD551" s="89"/>
      <c r="AE551" s="89"/>
      <c r="AF551" s="89"/>
      <c r="AG551" s="89"/>
      <c r="AH551" s="89"/>
      <c r="AI551" s="89"/>
      <c r="AJ551" s="89"/>
      <c r="AK551" s="89"/>
    </row>
    <row r="552" customFormat="false" ht="15.75" hidden="false" customHeight="true" outlineLevel="0" collapsed="false">
      <c r="A552" s="76"/>
      <c r="B552" s="76"/>
      <c r="C552" s="88"/>
      <c r="D552" s="89"/>
      <c r="E552" s="89"/>
      <c r="F552" s="89"/>
      <c r="G552" s="89"/>
      <c r="H552" s="89"/>
      <c r="I552" s="90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89"/>
    </row>
    <row r="553" customFormat="false" ht="15.75" hidden="false" customHeight="true" outlineLevel="0" collapsed="false">
      <c r="A553" s="76"/>
      <c r="B553" s="76"/>
      <c r="C553" s="88"/>
      <c r="D553" s="89"/>
      <c r="E553" s="89"/>
      <c r="F553" s="89"/>
      <c r="G553" s="89"/>
      <c r="H553" s="89"/>
      <c r="I553" s="90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  <c r="AD553" s="89"/>
      <c r="AE553" s="89"/>
      <c r="AF553" s="89"/>
      <c r="AG553" s="89"/>
      <c r="AH553" s="89"/>
      <c r="AI553" s="89"/>
      <c r="AJ553" s="89"/>
      <c r="AK553" s="89"/>
    </row>
    <row r="554" customFormat="false" ht="15.75" hidden="false" customHeight="true" outlineLevel="0" collapsed="false">
      <c r="A554" s="76"/>
      <c r="B554" s="76"/>
      <c r="C554" s="88"/>
      <c r="D554" s="89"/>
      <c r="E554" s="89"/>
      <c r="F554" s="89"/>
      <c r="G554" s="89"/>
      <c r="H554" s="89"/>
      <c r="I554" s="90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89"/>
    </row>
    <row r="555" customFormat="false" ht="15.75" hidden="false" customHeight="true" outlineLevel="0" collapsed="false">
      <c r="A555" s="76"/>
      <c r="B555" s="76"/>
      <c r="C555" s="88"/>
      <c r="D555" s="89"/>
      <c r="E555" s="89"/>
      <c r="F555" s="89"/>
      <c r="G555" s="89"/>
      <c r="H555" s="89"/>
      <c r="I555" s="90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  <c r="AD555" s="89"/>
      <c r="AE555" s="89"/>
      <c r="AF555" s="89"/>
      <c r="AG555" s="89"/>
      <c r="AH555" s="89"/>
      <c r="AI555" s="89"/>
      <c r="AJ555" s="89"/>
      <c r="AK555" s="89"/>
    </row>
    <row r="556" customFormat="false" ht="15.75" hidden="false" customHeight="true" outlineLevel="0" collapsed="false">
      <c r="A556" s="76"/>
      <c r="B556" s="76"/>
      <c r="C556" s="88"/>
      <c r="D556" s="89"/>
      <c r="E556" s="89"/>
      <c r="F556" s="89"/>
      <c r="G556" s="89"/>
      <c r="H556" s="89"/>
      <c r="I556" s="90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89"/>
    </row>
    <row r="557" customFormat="false" ht="15.75" hidden="false" customHeight="true" outlineLevel="0" collapsed="false">
      <c r="A557" s="76"/>
      <c r="B557" s="76"/>
      <c r="C557" s="88"/>
      <c r="D557" s="89"/>
      <c r="E557" s="89"/>
      <c r="F557" s="89"/>
      <c r="G557" s="89"/>
      <c r="H557" s="89"/>
      <c r="I557" s="90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  <c r="AD557" s="89"/>
      <c r="AE557" s="89"/>
      <c r="AF557" s="89"/>
      <c r="AG557" s="89"/>
      <c r="AH557" s="89"/>
      <c r="AI557" s="89"/>
      <c r="AJ557" s="89"/>
      <c r="AK557" s="89"/>
    </row>
    <row r="558" customFormat="false" ht="15.75" hidden="false" customHeight="true" outlineLevel="0" collapsed="false">
      <c r="A558" s="76"/>
      <c r="B558" s="76"/>
      <c r="C558" s="88"/>
      <c r="D558" s="89"/>
      <c r="E558" s="89"/>
      <c r="F558" s="89"/>
      <c r="G558" s="89"/>
      <c r="H558" s="89"/>
      <c r="I558" s="90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89"/>
    </row>
    <row r="559" customFormat="false" ht="15.75" hidden="false" customHeight="true" outlineLevel="0" collapsed="false">
      <c r="A559" s="76"/>
      <c r="B559" s="76"/>
      <c r="C559" s="88"/>
      <c r="D559" s="89"/>
      <c r="E559" s="89"/>
      <c r="F559" s="89"/>
      <c r="G559" s="89"/>
      <c r="H559" s="89"/>
      <c r="I559" s="90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  <c r="AE559" s="89"/>
      <c r="AF559" s="89"/>
      <c r="AG559" s="89"/>
      <c r="AH559" s="89"/>
      <c r="AI559" s="89"/>
      <c r="AJ559" s="89"/>
      <c r="AK559" s="89"/>
    </row>
    <row r="560" customFormat="false" ht="15.75" hidden="false" customHeight="true" outlineLevel="0" collapsed="false">
      <c r="A560" s="76"/>
      <c r="B560" s="76"/>
      <c r="C560" s="88"/>
      <c r="D560" s="89"/>
      <c r="E560" s="89"/>
      <c r="F560" s="89"/>
      <c r="G560" s="89"/>
      <c r="H560" s="89"/>
      <c r="I560" s="90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89"/>
    </row>
    <row r="561" customFormat="false" ht="15.75" hidden="false" customHeight="true" outlineLevel="0" collapsed="false">
      <c r="A561" s="76"/>
      <c r="B561" s="76"/>
      <c r="C561" s="88"/>
      <c r="D561" s="89"/>
      <c r="E561" s="89"/>
      <c r="F561" s="89"/>
      <c r="G561" s="89"/>
      <c r="H561" s="89"/>
      <c r="I561" s="90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  <c r="AD561" s="89"/>
      <c r="AE561" s="89"/>
      <c r="AF561" s="89"/>
      <c r="AG561" s="89"/>
      <c r="AH561" s="89"/>
      <c r="AI561" s="89"/>
      <c r="AJ561" s="89"/>
      <c r="AK561" s="89"/>
    </row>
    <row r="562" customFormat="false" ht="15.75" hidden="false" customHeight="true" outlineLevel="0" collapsed="false">
      <c r="A562" s="76"/>
      <c r="B562" s="76"/>
      <c r="C562" s="88"/>
      <c r="D562" s="89"/>
      <c r="E562" s="89"/>
      <c r="F562" s="89"/>
      <c r="G562" s="89"/>
      <c r="H562" s="89"/>
      <c r="I562" s="90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89"/>
    </row>
    <row r="563" customFormat="false" ht="15.75" hidden="false" customHeight="true" outlineLevel="0" collapsed="false">
      <c r="A563" s="76"/>
      <c r="B563" s="76"/>
      <c r="C563" s="88"/>
      <c r="D563" s="89"/>
      <c r="E563" s="89"/>
      <c r="F563" s="89"/>
      <c r="G563" s="89"/>
      <c r="H563" s="89"/>
      <c r="I563" s="90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  <c r="AD563" s="89"/>
      <c r="AE563" s="89"/>
      <c r="AF563" s="89"/>
      <c r="AG563" s="89"/>
      <c r="AH563" s="89"/>
      <c r="AI563" s="89"/>
      <c r="AJ563" s="89"/>
      <c r="AK563" s="89"/>
    </row>
    <row r="564" customFormat="false" ht="15.75" hidden="false" customHeight="true" outlineLevel="0" collapsed="false">
      <c r="A564" s="76"/>
      <c r="B564" s="76"/>
      <c r="C564" s="88"/>
      <c r="D564" s="89"/>
      <c r="E564" s="89"/>
      <c r="F564" s="89"/>
      <c r="G564" s="89"/>
      <c r="H564" s="89"/>
      <c r="I564" s="90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89"/>
    </row>
    <row r="565" customFormat="false" ht="15.75" hidden="false" customHeight="true" outlineLevel="0" collapsed="false">
      <c r="A565" s="76"/>
      <c r="B565" s="76"/>
      <c r="C565" s="88"/>
      <c r="D565" s="89"/>
      <c r="E565" s="89"/>
      <c r="F565" s="89"/>
      <c r="G565" s="89"/>
      <c r="H565" s="89"/>
      <c r="I565" s="90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  <c r="AD565" s="89"/>
      <c r="AE565" s="89"/>
      <c r="AF565" s="89"/>
      <c r="AG565" s="89"/>
      <c r="AH565" s="89"/>
      <c r="AI565" s="89"/>
      <c r="AJ565" s="89"/>
      <c r="AK565" s="89"/>
    </row>
    <row r="566" customFormat="false" ht="15.75" hidden="false" customHeight="true" outlineLevel="0" collapsed="false">
      <c r="A566" s="76"/>
      <c r="B566" s="76"/>
      <c r="C566" s="88"/>
      <c r="D566" s="89"/>
      <c r="E566" s="89"/>
      <c r="F566" s="89"/>
      <c r="G566" s="89"/>
      <c r="H566" s="89"/>
      <c r="I566" s="90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89"/>
    </row>
    <row r="567" customFormat="false" ht="15.75" hidden="false" customHeight="true" outlineLevel="0" collapsed="false">
      <c r="A567" s="76"/>
      <c r="B567" s="76"/>
      <c r="C567" s="88"/>
      <c r="D567" s="89"/>
      <c r="E567" s="89"/>
      <c r="F567" s="89"/>
      <c r="G567" s="89"/>
      <c r="H567" s="89"/>
      <c r="I567" s="90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  <c r="AD567" s="89"/>
      <c r="AE567" s="89"/>
      <c r="AF567" s="89"/>
      <c r="AG567" s="89"/>
      <c r="AH567" s="89"/>
      <c r="AI567" s="89"/>
      <c r="AJ567" s="89"/>
      <c r="AK567" s="89"/>
    </row>
    <row r="568" customFormat="false" ht="15.75" hidden="false" customHeight="true" outlineLevel="0" collapsed="false">
      <c r="A568" s="76"/>
      <c r="B568" s="76"/>
      <c r="C568" s="88"/>
      <c r="D568" s="89"/>
      <c r="E568" s="89"/>
      <c r="F568" s="89"/>
      <c r="G568" s="89"/>
      <c r="H568" s="89"/>
      <c r="I568" s="90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89"/>
    </row>
    <row r="569" customFormat="false" ht="15.75" hidden="false" customHeight="true" outlineLevel="0" collapsed="false">
      <c r="A569" s="76"/>
      <c r="B569" s="76"/>
      <c r="C569" s="88"/>
      <c r="D569" s="89"/>
      <c r="E569" s="89"/>
      <c r="F569" s="89"/>
      <c r="G569" s="89"/>
      <c r="H569" s="89"/>
      <c r="I569" s="90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  <c r="AD569" s="89"/>
      <c r="AE569" s="89"/>
      <c r="AF569" s="89"/>
      <c r="AG569" s="89"/>
      <c r="AH569" s="89"/>
      <c r="AI569" s="89"/>
      <c r="AJ569" s="89"/>
      <c r="AK569" s="89"/>
    </row>
    <row r="570" customFormat="false" ht="15.75" hidden="false" customHeight="true" outlineLevel="0" collapsed="false">
      <c r="A570" s="76"/>
      <c r="B570" s="76"/>
      <c r="C570" s="88"/>
      <c r="D570" s="89"/>
      <c r="E570" s="89"/>
      <c r="F570" s="89"/>
      <c r="G570" s="89"/>
      <c r="H570" s="89"/>
      <c r="I570" s="90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89"/>
    </row>
    <row r="571" customFormat="false" ht="15.75" hidden="false" customHeight="true" outlineLevel="0" collapsed="false">
      <c r="A571" s="76"/>
      <c r="B571" s="76"/>
      <c r="C571" s="88"/>
      <c r="D571" s="89"/>
      <c r="E571" s="89"/>
      <c r="F571" s="89"/>
      <c r="G571" s="89"/>
      <c r="H571" s="89"/>
      <c r="I571" s="90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  <c r="AD571" s="89"/>
      <c r="AE571" s="89"/>
      <c r="AF571" s="89"/>
      <c r="AG571" s="89"/>
      <c r="AH571" s="89"/>
      <c r="AI571" s="89"/>
      <c r="AJ571" s="89"/>
      <c r="AK571" s="89"/>
    </row>
    <row r="572" customFormat="false" ht="15.75" hidden="false" customHeight="true" outlineLevel="0" collapsed="false">
      <c r="A572" s="76"/>
      <c r="B572" s="76"/>
      <c r="C572" s="88"/>
      <c r="D572" s="89"/>
      <c r="E572" s="89"/>
      <c r="F572" s="89"/>
      <c r="G572" s="89"/>
      <c r="H572" s="89"/>
      <c r="I572" s="90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89"/>
    </row>
    <row r="573" customFormat="false" ht="15.75" hidden="false" customHeight="true" outlineLevel="0" collapsed="false">
      <c r="A573" s="76"/>
      <c r="B573" s="76"/>
      <c r="C573" s="88"/>
      <c r="D573" s="89"/>
      <c r="E573" s="89"/>
      <c r="F573" s="89"/>
      <c r="G573" s="89"/>
      <c r="H573" s="89"/>
      <c r="I573" s="90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  <c r="AD573" s="89"/>
      <c r="AE573" s="89"/>
      <c r="AF573" s="89"/>
      <c r="AG573" s="89"/>
      <c r="AH573" s="89"/>
      <c r="AI573" s="89"/>
      <c r="AJ573" s="89"/>
      <c r="AK573" s="89"/>
    </row>
    <row r="574" customFormat="false" ht="15.75" hidden="false" customHeight="true" outlineLevel="0" collapsed="false">
      <c r="A574" s="76"/>
      <c r="B574" s="76"/>
      <c r="C574" s="88"/>
      <c r="D574" s="89"/>
      <c r="E574" s="89"/>
      <c r="F574" s="89"/>
      <c r="G574" s="89"/>
      <c r="H574" s="89"/>
      <c r="I574" s="90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89"/>
    </row>
    <row r="575" customFormat="false" ht="15.75" hidden="false" customHeight="true" outlineLevel="0" collapsed="false">
      <c r="A575" s="76"/>
      <c r="B575" s="76"/>
      <c r="C575" s="88"/>
      <c r="D575" s="89"/>
      <c r="E575" s="89"/>
      <c r="F575" s="89"/>
      <c r="G575" s="89"/>
      <c r="H575" s="89"/>
      <c r="I575" s="90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</row>
    <row r="576" customFormat="false" ht="15.75" hidden="false" customHeight="true" outlineLevel="0" collapsed="false">
      <c r="A576" s="76"/>
      <c r="B576" s="76"/>
      <c r="C576" s="88"/>
      <c r="D576" s="89"/>
      <c r="E576" s="89"/>
      <c r="F576" s="89"/>
      <c r="G576" s="89"/>
      <c r="H576" s="89"/>
      <c r="I576" s="90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</row>
    <row r="577" customFormat="false" ht="15.75" hidden="false" customHeight="true" outlineLevel="0" collapsed="false">
      <c r="A577" s="76"/>
      <c r="B577" s="76"/>
      <c r="C577" s="88"/>
      <c r="D577" s="89"/>
      <c r="E577" s="89"/>
      <c r="F577" s="89"/>
      <c r="G577" s="89"/>
      <c r="H577" s="89"/>
      <c r="I577" s="90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89"/>
    </row>
    <row r="578" customFormat="false" ht="15.75" hidden="false" customHeight="true" outlineLevel="0" collapsed="false">
      <c r="A578" s="76"/>
      <c r="B578" s="76"/>
      <c r="C578" s="88"/>
      <c r="D578" s="89"/>
      <c r="E578" s="89"/>
      <c r="F578" s="89"/>
      <c r="G578" s="89"/>
      <c r="H578" s="89"/>
      <c r="I578" s="90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89"/>
    </row>
    <row r="579" customFormat="false" ht="15.75" hidden="false" customHeight="true" outlineLevel="0" collapsed="false">
      <c r="A579" s="76"/>
      <c r="B579" s="76"/>
      <c r="C579" s="88"/>
      <c r="D579" s="89"/>
      <c r="E579" s="89"/>
      <c r="F579" s="89"/>
      <c r="G579" s="89"/>
      <c r="H579" s="89"/>
      <c r="I579" s="90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  <c r="AE579" s="89"/>
      <c r="AF579" s="89"/>
      <c r="AG579" s="89"/>
      <c r="AH579" s="89"/>
      <c r="AI579" s="89"/>
      <c r="AJ579" s="89"/>
      <c r="AK579" s="89"/>
    </row>
    <row r="580" customFormat="false" ht="15.75" hidden="false" customHeight="true" outlineLevel="0" collapsed="false">
      <c r="A580" s="76"/>
      <c r="B580" s="76"/>
      <c r="C580" s="88"/>
      <c r="D580" s="89"/>
      <c r="E580" s="89"/>
      <c r="F580" s="89"/>
      <c r="G580" s="89"/>
      <c r="H580" s="89"/>
      <c r="I580" s="90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</row>
    <row r="581" customFormat="false" ht="15.75" hidden="false" customHeight="true" outlineLevel="0" collapsed="false">
      <c r="A581" s="76"/>
      <c r="B581" s="76"/>
      <c r="C581" s="88"/>
      <c r="D581" s="89"/>
      <c r="E581" s="89"/>
      <c r="F581" s="89"/>
      <c r="G581" s="89"/>
      <c r="H581" s="89"/>
      <c r="I581" s="90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</row>
    <row r="582" customFormat="false" ht="15.75" hidden="false" customHeight="true" outlineLevel="0" collapsed="false">
      <c r="A582" s="76"/>
      <c r="B582" s="76"/>
      <c r="C582" s="88"/>
      <c r="D582" s="89"/>
      <c r="E582" s="89"/>
      <c r="F582" s="89"/>
      <c r="G582" s="89"/>
      <c r="H582" s="89"/>
      <c r="I582" s="90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</row>
    <row r="583" customFormat="false" ht="15.75" hidden="false" customHeight="true" outlineLevel="0" collapsed="false">
      <c r="A583" s="76"/>
      <c r="B583" s="76"/>
      <c r="C583" s="88"/>
      <c r="D583" s="89"/>
      <c r="E583" s="89"/>
      <c r="F583" s="89"/>
      <c r="G583" s="89"/>
      <c r="H583" s="89"/>
      <c r="I583" s="90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  <c r="AE583" s="89"/>
      <c r="AF583" s="89"/>
      <c r="AG583" s="89"/>
      <c r="AH583" s="89"/>
      <c r="AI583" s="89"/>
      <c r="AJ583" s="89"/>
      <c r="AK583" s="89"/>
    </row>
    <row r="584" customFormat="false" ht="15.75" hidden="false" customHeight="true" outlineLevel="0" collapsed="false">
      <c r="A584" s="76"/>
      <c r="B584" s="76"/>
      <c r="C584" s="88"/>
      <c r="D584" s="89"/>
      <c r="E584" s="89"/>
      <c r="F584" s="89"/>
      <c r="G584" s="89"/>
      <c r="H584" s="89"/>
      <c r="I584" s="90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89"/>
      <c r="AE584" s="89"/>
      <c r="AF584" s="89"/>
      <c r="AG584" s="89"/>
      <c r="AH584" s="89"/>
      <c r="AI584" s="89"/>
      <c r="AJ584" s="89"/>
      <c r="AK584" s="89"/>
    </row>
    <row r="585" customFormat="false" ht="15.75" hidden="false" customHeight="true" outlineLevel="0" collapsed="false">
      <c r="A585" s="76"/>
      <c r="B585" s="76"/>
      <c r="C585" s="88"/>
      <c r="D585" s="89"/>
      <c r="E585" s="89"/>
      <c r="F585" s="89"/>
      <c r="G585" s="89"/>
      <c r="H585" s="89"/>
      <c r="I585" s="90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  <c r="AE585" s="89"/>
      <c r="AF585" s="89"/>
      <c r="AG585" s="89"/>
      <c r="AH585" s="89"/>
      <c r="AI585" s="89"/>
      <c r="AJ585" s="89"/>
      <c r="AK585" s="89"/>
    </row>
    <row r="586" customFormat="false" ht="15.75" hidden="false" customHeight="true" outlineLevel="0" collapsed="false">
      <c r="A586" s="76"/>
      <c r="B586" s="76"/>
      <c r="C586" s="88"/>
      <c r="D586" s="89"/>
      <c r="E586" s="89"/>
      <c r="F586" s="89"/>
      <c r="G586" s="89"/>
      <c r="H586" s="89"/>
      <c r="I586" s="90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  <c r="AE586" s="89"/>
      <c r="AF586" s="89"/>
      <c r="AG586" s="89"/>
      <c r="AH586" s="89"/>
      <c r="AI586" s="89"/>
      <c r="AJ586" s="89"/>
      <c r="AK586" s="89"/>
    </row>
    <row r="587" customFormat="false" ht="15.75" hidden="false" customHeight="true" outlineLevel="0" collapsed="false">
      <c r="A587" s="76"/>
      <c r="B587" s="76"/>
      <c r="C587" s="88"/>
      <c r="D587" s="89"/>
      <c r="E587" s="89"/>
      <c r="F587" s="89"/>
      <c r="G587" s="89"/>
      <c r="H587" s="89"/>
      <c r="I587" s="90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  <c r="AE587" s="89"/>
      <c r="AF587" s="89"/>
      <c r="AG587" s="89"/>
      <c r="AH587" s="89"/>
      <c r="AI587" s="89"/>
      <c r="AJ587" s="89"/>
      <c r="AK587" s="89"/>
    </row>
    <row r="588" customFormat="false" ht="15.75" hidden="false" customHeight="true" outlineLevel="0" collapsed="false">
      <c r="A588" s="76"/>
      <c r="B588" s="76"/>
      <c r="C588" s="88"/>
      <c r="D588" s="89"/>
      <c r="E588" s="89"/>
      <c r="F588" s="89"/>
      <c r="G588" s="89"/>
      <c r="H588" s="89"/>
      <c r="I588" s="90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  <c r="AE588" s="89"/>
      <c r="AF588" s="89"/>
      <c r="AG588" s="89"/>
      <c r="AH588" s="89"/>
      <c r="AI588" s="89"/>
      <c r="AJ588" s="89"/>
      <c r="AK588" s="89"/>
    </row>
    <row r="589" customFormat="false" ht="15.75" hidden="false" customHeight="true" outlineLevel="0" collapsed="false">
      <c r="A589" s="76"/>
      <c r="B589" s="76"/>
      <c r="C589" s="88"/>
      <c r="D589" s="89"/>
      <c r="E589" s="89"/>
      <c r="F589" s="89"/>
      <c r="G589" s="89"/>
      <c r="H589" s="89"/>
      <c r="I589" s="90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  <c r="AE589" s="89"/>
      <c r="AF589" s="89"/>
      <c r="AG589" s="89"/>
      <c r="AH589" s="89"/>
      <c r="AI589" s="89"/>
      <c r="AJ589" s="89"/>
      <c r="AK589" s="89"/>
    </row>
    <row r="590" customFormat="false" ht="15.75" hidden="false" customHeight="true" outlineLevel="0" collapsed="false">
      <c r="A590" s="76"/>
      <c r="B590" s="76"/>
      <c r="C590" s="88"/>
      <c r="D590" s="89"/>
      <c r="E590" s="89"/>
      <c r="F590" s="89"/>
      <c r="G590" s="89"/>
      <c r="H590" s="89"/>
      <c r="I590" s="90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  <c r="AE590" s="89"/>
      <c r="AF590" s="89"/>
      <c r="AG590" s="89"/>
      <c r="AH590" s="89"/>
      <c r="AI590" s="89"/>
      <c r="AJ590" s="89"/>
      <c r="AK590" s="89"/>
    </row>
    <row r="591" customFormat="false" ht="15.75" hidden="false" customHeight="true" outlineLevel="0" collapsed="false">
      <c r="A591" s="76"/>
      <c r="B591" s="76"/>
      <c r="C591" s="88"/>
      <c r="D591" s="89"/>
      <c r="E591" s="89"/>
      <c r="F591" s="89"/>
      <c r="G591" s="89"/>
      <c r="H591" s="89"/>
      <c r="I591" s="90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  <c r="AE591" s="89"/>
      <c r="AF591" s="89"/>
      <c r="AG591" s="89"/>
      <c r="AH591" s="89"/>
      <c r="AI591" s="89"/>
      <c r="AJ591" s="89"/>
      <c r="AK591" s="89"/>
    </row>
    <row r="592" customFormat="false" ht="15.75" hidden="false" customHeight="true" outlineLevel="0" collapsed="false">
      <c r="A592" s="76"/>
      <c r="B592" s="76"/>
      <c r="C592" s="88"/>
      <c r="D592" s="89"/>
      <c r="E592" s="89"/>
      <c r="F592" s="89"/>
      <c r="G592" s="89"/>
      <c r="H592" s="89"/>
      <c r="I592" s="90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  <c r="AE592" s="89"/>
      <c r="AF592" s="89"/>
      <c r="AG592" s="89"/>
      <c r="AH592" s="89"/>
      <c r="AI592" s="89"/>
      <c r="AJ592" s="89"/>
      <c r="AK592" s="89"/>
    </row>
    <row r="593" customFormat="false" ht="15.75" hidden="false" customHeight="true" outlineLevel="0" collapsed="false">
      <c r="A593" s="76"/>
      <c r="B593" s="76"/>
      <c r="C593" s="88"/>
      <c r="D593" s="89"/>
      <c r="E593" s="89"/>
      <c r="F593" s="89"/>
      <c r="G593" s="89"/>
      <c r="H593" s="89"/>
      <c r="I593" s="90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  <c r="AE593" s="89"/>
      <c r="AF593" s="89"/>
      <c r="AG593" s="89"/>
      <c r="AH593" s="89"/>
      <c r="AI593" s="89"/>
      <c r="AJ593" s="89"/>
      <c r="AK593" s="89"/>
    </row>
    <row r="594" customFormat="false" ht="15.75" hidden="false" customHeight="true" outlineLevel="0" collapsed="false">
      <c r="A594" s="76"/>
      <c r="B594" s="76"/>
      <c r="C594" s="88"/>
      <c r="D594" s="89"/>
      <c r="E594" s="89"/>
      <c r="F594" s="89"/>
      <c r="G594" s="89"/>
      <c r="H594" s="89"/>
      <c r="I594" s="90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  <c r="AE594" s="89"/>
      <c r="AF594" s="89"/>
      <c r="AG594" s="89"/>
      <c r="AH594" s="89"/>
      <c r="AI594" s="89"/>
      <c r="AJ594" s="89"/>
      <c r="AK594" s="89"/>
    </row>
    <row r="595" customFormat="false" ht="15.75" hidden="false" customHeight="true" outlineLevel="0" collapsed="false">
      <c r="A595" s="76"/>
      <c r="B595" s="76"/>
      <c r="C595" s="88"/>
      <c r="D595" s="89"/>
      <c r="E595" s="89"/>
      <c r="F595" s="89"/>
      <c r="G595" s="89"/>
      <c r="H595" s="89"/>
      <c r="I595" s="90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  <c r="AE595" s="89"/>
      <c r="AF595" s="89"/>
      <c r="AG595" s="89"/>
      <c r="AH595" s="89"/>
      <c r="AI595" s="89"/>
      <c r="AJ595" s="89"/>
      <c r="AK595" s="89"/>
    </row>
    <row r="596" customFormat="false" ht="15.75" hidden="false" customHeight="true" outlineLevel="0" collapsed="false">
      <c r="A596" s="76"/>
      <c r="B596" s="76"/>
      <c r="C596" s="88"/>
      <c r="D596" s="89"/>
      <c r="E596" s="89"/>
      <c r="F596" s="89"/>
      <c r="G596" s="89"/>
      <c r="H596" s="89"/>
      <c r="I596" s="90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  <c r="AE596" s="89"/>
      <c r="AF596" s="89"/>
      <c r="AG596" s="89"/>
      <c r="AH596" s="89"/>
      <c r="AI596" s="89"/>
      <c r="AJ596" s="89"/>
      <c r="AK596" s="89"/>
    </row>
    <row r="597" customFormat="false" ht="15.75" hidden="false" customHeight="true" outlineLevel="0" collapsed="false">
      <c r="A597" s="76"/>
      <c r="B597" s="76"/>
      <c r="C597" s="88"/>
      <c r="D597" s="89"/>
      <c r="E597" s="89"/>
      <c r="F597" s="89"/>
      <c r="G597" s="89"/>
      <c r="H597" s="89"/>
      <c r="I597" s="90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  <c r="AE597" s="89"/>
      <c r="AF597" s="89"/>
      <c r="AG597" s="89"/>
      <c r="AH597" s="89"/>
      <c r="AI597" s="89"/>
      <c r="AJ597" s="89"/>
      <c r="AK597" s="89"/>
    </row>
    <row r="598" customFormat="false" ht="15.75" hidden="false" customHeight="true" outlineLevel="0" collapsed="false">
      <c r="A598" s="76"/>
      <c r="B598" s="76"/>
      <c r="C598" s="88"/>
      <c r="D598" s="89"/>
      <c r="E598" s="89"/>
      <c r="F598" s="89"/>
      <c r="G598" s="89"/>
      <c r="H598" s="89"/>
      <c r="I598" s="90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  <c r="AE598" s="89"/>
      <c r="AF598" s="89"/>
      <c r="AG598" s="89"/>
      <c r="AH598" s="89"/>
      <c r="AI598" s="89"/>
      <c r="AJ598" s="89"/>
      <c r="AK598" s="89"/>
    </row>
    <row r="599" customFormat="false" ht="15.75" hidden="false" customHeight="true" outlineLevel="0" collapsed="false">
      <c r="A599" s="76"/>
      <c r="B599" s="76"/>
      <c r="C599" s="88"/>
      <c r="D599" s="89"/>
      <c r="E599" s="89"/>
      <c r="F599" s="89"/>
      <c r="G599" s="89"/>
      <c r="H599" s="89"/>
      <c r="I599" s="90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  <c r="AE599" s="89"/>
      <c r="AF599" s="89"/>
      <c r="AG599" s="89"/>
      <c r="AH599" s="89"/>
      <c r="AI599" s="89"/>
      <c r="AJ599" s="89"/>
      <c r="AK599" s="89"/>
    </row>
    <row r="600" customFormat="false" ht="15.75" hidden="false" customHeight="true" outlineLevel="0" collapsed="false">
      <c r="A600" s="76"/>
      <c r="B600" s="76"/>
      <c r="C600" s="88"/>
      <c r="D600" s="89"/>
      <c r="E600" s="89"/>
      <c r="F600" s="89"/>
      <c r="G600" s="89"/>
      <c r="H600" s="89"/>
      <c r="I600" s="90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  <c r="AE600" s="89"/>
      <c r="AF600" s="89"/>
      <c r="AG600" s="89"/>
      <c r="AH600" s="89"/>
      <c r="AI600" s="89"/>
      <c r="AJ600" s="89"/>
      <c r="AK600" s="89"/>
    </row>
    <row r="601" customFormat="false" ht="15.75" hidden="false" customHeight="true" outlineLevel="0" collapsed="false">
      <c r="A601" s="76"/>
      <c r="B601" s="76"/>
      <c r="C601" s="88"/>
      <c r="D601" s="89"/>
      <c r="E601" s="89"/>
      <c r="F601" s="89"/>
      <c r="G601" s="89"/>
      <c r="H601" s="89"/>
      <c r="I601" s="90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  <c r="AE601" s="89"/>
      <c r="AF601" s="89"/>
      <c r="AG601" s="89"/>
      <c r="AH601" s="89"/>
      <c r="AI601" s="89"/>
      <c r="AJ601" s="89"/>
      <c r="AK601" s="89"/>
    </row>
    <row r="602" customFormat="false" ht="15.75" hidden="false" customHeight="true" outlineLevel="0" collapsed="false">
      <c r="A602" s="76"/>
      <c r="B602" s="76"/>
      <c r="C602" s="88"/>
      <c r="D602" s="89"/>
      <c r="E602" s="89"/>
      <c r="F602" s="89"/>
      <c r="G602" s="89"/>
      <c r="H602" s="89"/>
      <c r="I602" s="90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</row>
    <row r="603" customFormat="false" ht="15.75" hidden="false" customHeight="true" outlineLevel="0" collapsed="false">
      <c r="A603" s="76"/>
      <c r="B603" s="76"/>
      <c r="C603" s="88"/>
      <c r="D603" s="89"/>
      <c r="E603" s="89"/>
      <c r="F603" s="89"/>
      <c r="G603" s="89"/>
      <c r="H603" s="89"/>
      <c r="I603" s="90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</row>
    <row r="604" customFormat="false" ht="15.75" hidden="false" customHeight="true" outlineLevel="0" collapsed="false">
      <c r="A604" s="76"/>
      <c r="B604" s="76"/>
      <c r="C604" s="88"/>
      <c r="D604" s="89"/>
      <c r="E604" s="89"/>
      <c r="F604" s="89"/>
      <c r="G604" s="89"/>
      <c r="H604" s="89"/>
      <c r="I604" s="90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</row>
    <row r="605" customFormat="false" ht="15.75" hidden="false" customHeight="true" outlineLevel="0" collapsed="false">
      <c r="A605" s="76"/>
      <c r="B605" s="76"/>
      <c r="C605" s="88"/>
      <c r="D605" s="89"/>
      <c r="E605" s="89"/>
      <c r="F605" s="89"/>
      <c r="G605" s="89"/>
      <c r="H605" s="89"/>
      <c r="I605" s="90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  <c r="AE605" s="89"/>
      <c r="AF605" s="89"/>
      <c r="AG605" s="89"/>
      <c r="AH605" s="89"/>
      <c r="AI605" s="89"/>
      <c r="AJ605" s="89"/>
      <c r="AK605" s="89"/>
    </row>
    <row r="606" customFormat="false" ht="15.75" hidden="false" customHeight="true" outlineLevel="0" collapsed="false">
      <c r="A606" s="76"/>
      <c r="B606" s="76"/>
      <c r="C606" s="88"/>
      <c r="D606" s="89"/>
      <c r="E606" s="89"/>
      <c r="F606" s="89"/>
      <c r="G606" s="89"/>
      <c r="H606" s="89"/>
      <c r="I606" s="90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  <c r="AE606" s="89"/>
      <c r="AF606" s="89"/>
      <c r="AG606" s="89"/>
      <c r="AH606" s="89"/>
      <c r="AI606" s="89"/>
      <c r="AJ606" s="89"/>
      <c r="AK606" s="89"/>
    </row>
    <row r="607" customFormat="false" ht="15.75" hidden="false" customHeight="true" outlineLevel="0" collapsed="false">
      <c r="A607" s="76"/>
      <c r="B607" s="76"/>
      <c r="C607" s="88"/>
      <c r="D607" s="89"/>
      <c r="E607" s="89"/>
      <c r="F607" s="89"/>
      <c r="G607" s="89"/>
      <c r="H607" s="89"/>
      <c r="I607" s="90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  <c r="AE607" s="89"/>
      <c r="AF607" s="89"/>
      <c r="AG607" s="89"/>
      <c r="AH607" s="89"/>
      <c r="AI607" s="89"/>
      <c r="AJ607" s="89"/>
      <c r="AK607" s="89"/>
    </row>
    <row r="608" customFormat="false" ht="15.75" hidden="false" customHeight="true" outlineLevel="0" collapsed="false">
      <c r="A608" s="76"/>
      <c r="B608" s="76"/>
      <c r="C608" s="88"/>
      <c r="D608" s="89"/>
      <c r="E608" s="89"/>
      <c r="F608" s="89"/>
      <c r="G608" s="89"/>
      <c r="H608" s="89"/>
      <c r="I608" s="90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  <c r="AE608" s="89"/>
      <c r="AF608" s="89"/>
      <c r="AG608" s="89"/>
      <c r="AH608" s="89"/>
      <c r="AI608" s="89"/>
      <c r="AJ608" s="89"/>
      <c r="AK608" s="89"/>
    </row>
    <row r="609" customFormat="false" ht="15.75" hidden="false" customHeight="true" outlineLevel="0" collapsed="false">
      <c r="A609" s="76"/>
      <c r="B609" s="76"/>
      <c r="C609" s="88"/>
      <c r="D609" s="89"/>
      <c r="E609" s="89"/>
      <c r="F609" s="89"/>
      <c r="G609" s="89"/>
      <c r="H609" s="89"/>
      <c r="I609" s="90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  <c r="AE609" s="89"/>
      <c r="AF609" s="89"/>
      <c r="AG609" s="89"/>
      <c r="AH609" s="89"/>
      <c r="AI609" s="89"/>
      <c r="AJ609" s="89"/>
      <c r="AK609" s="89"/>
    </row>
    <row r="610" customFormat="false" ht="15.75" hidden="false" customHeight="true" outlineLevel="0" collapsed="false">
      <c r="A610" s="76"/>
      <c r="B610" s="76"/>
      <c r="C610" s="88"/>
      <c r="D610" s="89"/>
      <c r="E610" s="89"/>
      <c r="F610" s="89"/>
      <c r="G610" s="89"/>
      <c r="H610" s="89"/>
      <c r="I610" s="90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  <c r="AE610" s="89"/>
      <c r="AF610" s="89"/>
      <c r="AG610" s="89"/>
      <c r="AH610" s="89"/>
      <c r="AI610" s="89"/>
      <c r="AJ610" s="89"/>
      <c r="AK610" s="89"/>
    </row>
    <row r="611" customFormat="false" ht="15.75" hidden="false" customHeight="true" outlineLevel="0" collapsed="false">
      <c r="A611" s="76"/>
      <c r="B611" s="76"/>
      <c r="C611" s="88"/>
      <c r="D611" s="89"/>
      <c r="E611" s="89"/>
      <c r="F611" s="89"/>
      <c r="G611" s="89"/>
      <c r="H611" s="89"/>
      <c r="I611" s="90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  <c r="AE611" s="89"/>
      <c r="AF611" s="89"/>
      <c r="AG611" s="89"/>
      <c r="AH611" s="89"/>
      <c r="AI611" s="89"/>
      <c r="AJ611" s="89"/>
      <c r="AK611" s="89"/>
    </row>
    <row r="612" customFormat="false" ht="15.75" hidden="false" customHeight="true" outlineLevel="0" collapsed="false">
      <c r="A612" s="76"/>
      <c r="B612" s="76"/>
      <c r="C612" s="88"/>
      <c r="D612" s="89"/>
      <c r="E612" s="89"/>
      <c r="F612" s="89"/>
      <c r="G612" s="89"/>
      <c r="H612" s="89"/>
      <c r="I612" s="90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  <c r="AE612" s="89"/>
      <c r="AF612" s="89"/>
      <c r="AG612" s="89"/>
      <c r="AH612" s="89"/>
      <c r="AI612" s="89"/>
      <c r="AJ612" s="89"/>
      <c r="AK612" s="89"/>
    </row>
    <row r="613" customFormat="false" ht="15.75" hidden="false" customHeight="true" outlineLevel="0" collapsed="false">
      <c r="A613" s="76"/>
      <c r="B613" s="76"/>
      <c r="C613" s="88"/>
      <c r="D613" s="89"/>
      <c r="E613" s="89"/>
      <c r="F613" s="89"/>
      <c r="G613" s="89"/>
      <c r="H613" s="89"/>
      <c r="I613" s="90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  <c r="AE613" s="89"/>
      <c r="AF613" s="89"/>
      <c r="AG613" s="89"/>
      <c r="AH613" s="89"/>
      <c r="AI613" s="89"/>
      <c r="AJ613" s="89"/>
      <c r="AK613" s="89"/>
    </row>
    <row r="614" customFormat="false" ht="15.75" hidden="false" customHeight="true" outlineLevel="0" collapsed="false">
      <c r="A614" s="76"/>
      <c r="B614" s="76"/>
      <c r="C614" s="88"/>
      <c r="D614" s="89"/>
      <c r="E614" s="89"/>
      <c r="F614" s="89"/>
      <c r="G614" s="89"/>
      <c r="H614" s="89"/>
      <c r="I614" s="90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  <c r="AE614" s="89"/>
      <c r="AF614" s="89"/>
      <c r="AG614" s="89"/>
      <c r="AH614" s="89"/>
      <c r="AI614" s="89"/>
      <c r="AJ614" s="89"/>
      <c r="AK614" s="89"/>
    </row>
    <row r="615" customFormat="false" ht="15.75" hidden="false" customHeight="true" outlineLevel="0" collapsed="false">
      <c r="A615" s="76"/>
      <c r="B615" s="76"/>
      <c r="C615" s="88"/>
      <c r="D615" s="89"/>
      <c r="E615" s="89"/>
      <c r="F615" s="89"/>
      <c r="G615" s="89"/>
      <c r="H615" s="89"/>
      <c r="I615" s="90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  <c r="AE615" s="89"/>
      <c r="AF615" s="89"/>
      <c r="AG615" s="89"/>
      <c r="AH615" s="89"/>
      <c r="AI615" s="89"/>
      <c r="AJ615" s="89"/>
      <c r="AK615" s="89"/>
    </row>
    <row r="616" customFormat="false" ht="15.75" hidden="false" customHeight="true" outlineLevel="0" collapsed="false">
      <c r="A616" s="76"/>
      <c r="B616" s="76"/>
      <c r="C616" s="88"/>
      <c r="D616" s="89"/>
      <c r="E616" s="89"/>
      <c r="F616" s="89"/>
      <c r="G616" s="89"/>
      <c r="H616" s="89"/>
      <c r="I616" s="90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89"/>
      <c r="AE616" s="89"/>
      <c r="AF616" s="89"/>
      <c r="AG616" s="89"/>
      <c r="AH616" s="89"/>
      <c r="AI616" s="89"/>
      <c r="AJ616" s="89"/>
      <c r="AK616" s="89"/>
    </row>
    <row r="617" customFormat="false" ht="15.75" hidden="false" customHeight="true" outlineLevel="0" collapsed="false">
      <c r="A617" s="76"/>
      <c r="B617" s="76"/>
      <c r="C617" s="88"/>
      <c r="D617" s="89"/>
      <c r="E617" s="89"/>
      <c r="F617" s="89"/>
      <c r="G617" s="89"/>
      <c r="H617" s="89"/>
      <c r="I617" s="90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  <c r="AE617" s="89"/>
      <c r="AF617" s="89"/>
      <c r="AG617" s="89"/>
      <c r="AH617" s="89"/>
      <c r="AI617" s="89"/>
      <c r="AJ617" s="89"/>
      <c r="AK617" s="89"/>
    </row>
    <row r="618" customFormat="false" ht="15.75" hidden="false" customHeight="true" outlineLevel="0" collapsed="false">
      <c r="A618" s="76"/>
      <c r="B618" s="76"/>
      <c r="C618" s="88"/>
      <c r="D618" s="89"/>
      <c r="E618" s="89"/>
      <c r="F618" s="89"/>
      <c r="G618" s="89"/>
      <c r="H618" s="89"/>
      <c r="I618" s="90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  <c r="AE618" s="89"/>
      <c r="AF618" s="89"/>
      <c r="AG618" s="89"/>
      <c r="AH618" s="89"/>
      <c r="AI618" s="89"/>
      <c r="AJ618" s="89"/>
      <c r="AK618" s="89"/>
    </row>
    <row r="619" customFormat="false" ht="15.75" hidden="false" customHeight="true" outlineLevel="0" collapsed="false">
      <c r="A619" s="76"/>
      <c r="B619" s="76"/>
      <c r="C619" s="88"/>
      <c r="D619" s="89"/>
      <c r="E619" s="89"/>
      <c r="F619" s="89"/>
      <c r="G619" s="89"/>
      <c r="H619" s="89"/>
      <c r="I619" s="90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  <c r="AE619" s="89"/>
      <c r="AF619" s="89"/>
      <c r="AG619" s="89"/>
      <c r="AH619" s="89"/>
      <c r="AI619" s="89"/>
      <c r="AJ619" s="89"/>
      <c r="AK619" s="89"/>
    </row>
    <row r="620" customFormat="false" ht="15.75" hidden="false" customHeight="true" outlineLevel="0" collapsed="false">
      <c r="A620" s="76"/>
      <c r="B620" s="76"/>
      <c r="C620" s="88"/>
      <c r="D620" s="89"/>
      <c r="E620" s="89"/>
      <c r="F620" s="89"/>
      <c r="G620" s="89"/>
      <c r="H620" s="89"/>
      <c r="I620" s="90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89"/>
      <c r="AE620" s="89"/>
      <c r="AF620" s="89"/>
      <c r="AG620" s="89"/>
      <c r="AH620" s="89"/>
      <c r="AI620" s="89"/>
      <c r="AJ620" s="89"/>
      <c r="AK620" s="89"/>
    </row>
    <row r="621" customFormat="false" ht="15.75" hidden="false" customHeight="true" outlineLevel="0" collapsed="false">
      <c r="A621" s="76"/>
      <c r="B621" s="76"/>
      <c r="C621" s="88"/>
      <c r="D621" s="89"/>
      <c r="E621" s="89"/>
      <c r="F621" s="89"/>
      <c r="G621" s="89"/>
      <c r="H621" s="89"/>
      <c r="I621" s="90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  <c r="AD621" s="89"/>
      <c r="AE621" s="89"/>
      <c r="AF621" s="89"/>
      <c r="AG621" s="89"/>
      <c r="AH621" s="89"/>
      <c r="AI621" s="89"/>
      <c r="AJ621" s="89"/>
      <c r="AK621" s="89"/>
    </row>
    <row r="622" customFormat="false" ht="15.75" hidden="false" customHeight="true" outlineLevel="0" collapsed="false">
      <c r="A622" s="76"/>
      <c r="B622" s="76"/>
      <c r="C622" s="88"/>
      <c r="D622" s="89"/>
      <c r="E622" s="89"/>
      <c r="F622" s="89"/>
      <c r="G622" s="89"/>
      <c r="H622" s="89"/>
      <c r="I622" s="90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  <c r="AE622" s="89"/>
      <c r="AF622" s="89"/>
      <c r="AG622" s="89"/>
      <c r="AH622" s="89"/>
      <c r="AI622" s="89"/>
      <c r="AJ622" s="89"/>
      <c r="AK622" s="89"/>
    </row>
    <row r="623" customFormat="false" ht="15.75" hidden="false" customHeight="true" outlineLevel="0" collapsed="false">
      <c r="A623" s="76"/>
      <c r="B623" s="76"/>
      <c r="C623" s="88"/>
      <c r="D623" s="89"/>
      <c r="E623" s="89"/>
      <c r="F623" s="89"/>
      <c r="G623" s="89"/>
      <c r="H623" s="89"/>
      <c r="I623" s="90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</row>
    <row r="624" customFormat="false" ht="15.75" hidden="false" customHeight="true" outlineLevel="0" collapsed="false">
      <c r="A624" s="76"/>
      <c r="B624" s="76"/>
      <c r="C624" s="88"/>
      <c r="D624" s="89"/>
      <c r="E624" s="89"/>
      <c r="F624" s="89"/>
      <c r="G624" s="89"/>
      <c r="H624" s="89"/>
      <c r="I624" s="90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89"/>
      <c r="AE624" s="89"/>
      <c r="AF624" s="89"/>
      <c r="AG624" s="89"/>
      <c r="AH624" s="89"/>
      <c r="AI624" s="89"/>
      <c r="AJ624" s="89"/>
      <c r="AK624" s="89"/>
    </row>
    <row r="625" customFormat="false" ht="15.75" hidden="false" customHeight="true" outlineLevel="0" collapsed="false">
      <c r="A625" s="76"/>
      <c r="B625" s="76"/>
      <c r="C625" s="88"/>
      <c r="D625" s="89"/>
      <c r="E625" s="89"/>
      <c r="F625" s="89"/>
      <c r="G625" s="89"/>
      <c r="H625" s="89"/>
      <c r="I625" s="90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  <c r="AD625" s="89"/>
      <c r="AE625" s="89"/>
      <c r="AF625" s="89"/>
      <c r="AG625" s="89"/>
      <c r="AH625" s="89"/>
      <c r="AI625" s="89"/>
      <c r="AJ625" s="89"/>
      <c r="AK625" s="89"/>
    </row>
    <row r="626" customFormat="false" ht="15.75" hidden="false" customHeight="true" outlineLevel="0" collapsed="false">
      <c r="A626" s="76"/>
      <c r="B626" s="76"/>
      <c r="C626" s="88"/>
      <c r="D626" s="89"/>
      <c r="E626" s="89"/>
      <c r="F626" s="89"/>
      <c r="G626" s="89"/>
      <c r="H626" s="89"/>
      <c r="I626" s="90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89"/>
      <c r="AE626" s="89"/>
      <c r="AF626" s="89"/>
      <c r="AG626" s="89"/>
      <c r="AH626" s="89"/>
      <c r="AI626" s="89"/>
      <c r="AJ626" s="89"/>
      <c r="AK626" s="89"/>
    </row>
    <row r="627" customFormat="false" ht="15.75" hidden="false" customHeight="true" outlineLevel="0" collapsed="false">
      <c r="A627" s="76"/>
      <c r="B627" s="76"/>
      <c r="C627" s="88"/>
      <c r="D627" s="89"/>
      <c r="E627" s="89"/>
      <c r="F627" s="89"/>
      <c r="G627" s="89"/>
      <c r="H627" s="89"/>
      <c r="I627" s="90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  <c r="AD627" s="89"/>
      <c r="AE627" s="89"/>
      <c r="AF627" s="89"/>
      <c r="AG627" s="89"/>
      <c r="AH627" s="89"/>
      <c r="AI627" s="89"/>
      <c r="AJ627" s="89"/>
      <c r="AK627" s="89"/>
    </row>
    <row r="628" customFormat="false" ht="15.75" hidden="false" customHeight="true" outlineLevel="0" collapsed="false">
      <c r="A628" s="76"/>
      <c r="B628" s="76"/>
      <c r="C628" s="88"/>
      <c r="D628" s="89"/>
      <c r="E628" s="89"/>
      <c r="F628" s="89"/>
      <c r="G628" s="89"/>
      <c r="H628" s="89"/>
      <c r="I628" s="90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  <c r="AE628" s="89"/>
      <c r="AF628" s="89"/>
      <c r="AG628" s="89"/>
      <c r="AH628" s="89"/>
      <c r="AI628" s="89"/>
      <c r="AJ628" s="89"/>
      <c r="AK628" s="89"/>
    </row>
    <row r="629" customFormat="false" ht="15.75" hidden="false" customHeight="true" outlineLevel="0" collapsed="false">
      <c r="A629" s="76"/>
      <c r="B629" s="76"/>
      <c r="C629" s="88"/>
      <c r="D629" s="89"/>
      <c r="E629" s="89"/>
      <c r="F629" s="89"/>
      <c r="G629" s="89"/>
      <c r="H629" s="89"/>
      <c r="I629" s="90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</row>
    <row r="630" customFormat="false" ht="15.75" hidden="false" customHeight="true" outlineLevel="0" collapsed="false">
      <c r="A630" s="76"/>
      <c r="B630" s="76"/>
      <c r="C630" s="88"/>
      <c r="D630" s="89"/>
      <c r="E630" s="89"/>
      <c r="F630" s="89"/>
      <c r="G630" s="89"/>
      <c r="H630" s="89"/>
      <c r="I630" s="90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</row>
    <row r="631" customFormat="false" ht="15.75" hidden="false" customHeight="true" outlineLevel="0" collapsed="false">
      <c r="A631" s="76"/>
      <c r="B631" s="76"/>
      <c r="C631" s="88"/>
      <c r="D631" s="89"/>
      <c r="E631" s="89"/>
      <c r="F631" s="89"/>
      <c r="G631" s="89"/>
      <c r="H631" s="89"/>
      <c r="I631" s="90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  <c r="AE631" s="89"/>
      <c r="AF631" s="89"/>
      <c r="AG631" s="89"/>
      <c r="AH631" s="89"/>
      <c r="AI631" s="89"/>
      <c r="AJ631" s="89"/>
      <c r="AK631" s="89"/>
    </row>
    <row r="632" customFormat="false" ht="15.75" hidden="false" customHeight="true" outlineLevel="0" collapsed="false">
      <c r="A632" s="76"/>
      <c r="B632" s="76"/>
      <c r="C632" s="88"/>
      <c r="D632" s="89"/>
      <c r="E632" s="89"/>
      <c r="F632" s="89"/>
      <c r="G632" s="89"/>
      <c r="H632" s="89"/>
      <c r="I632" s="90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89"/>
      <c r="AE632" s="89"/>
      <c r="AF632" s="89"/>
      <c r="AG632" s="89"/>
      <c r="AH632" s="89"/>
      <c r="AI632" s="89"/>
      <c r="AJ632" s="89"/>
      <c r="AK632" s="89"/>
    </row>
    <row r="633" customFormat="false" ht="15.75" hidden="false" customHeight="true" outlineLevel="0" collapsed="false">
      <c r="A633" s="76"/>
      <c r="B633" s="76"/>
      <c r="C633" s="88"/>
      <c r="D633" s="89"/>
      <c r="E633" s="89"/>
      <c r="F633" s="89"/>
      <c r="G633" s="89"/>
      <c r="H633" s="89"/>
      <c r="I633" s="90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  <c r="AD633" s="89"/>
      <c r="AE633" s="89"/>
      <c r="AF633" s="89"/>
      <c r="AG633" s="89"/>
      <c r="AH633" s="89"/>
      <c r="AI633" s="89"/>
      <c r="AJ633" s="89"/>
      <c r="AK633" s="89"/>
    </row>
    <row r="634" customFormat="false" ht="15.75" hidden="false" customHeight="true" outlineLevel="0" collapsed="false">
      <c r="A634" s="76"/>
      <c r="B634" s="76"/>
      <c r="C634" s="88"/>
      <c r="D634" s="89"/>
      <c r="E634" s="89"/>
      <c r="F634" s="89"/>
      <c r="G634" s="89"/>
      <c r="H634" s="89"/>
      <c r="I634" s="90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  <c r="AE634" s="89"/>
      <c r="AF634" s="89"/>
      <c r="AG634" s="89"/>
      <c r="AH634" s="89"/>
      <c r="AI634" s="89"/>
      <c r="AJ634" s="89"/>
      <c r="AK634" s="89"/>
    </row>
    <row r="635" customFormat="false" ht="15.75" hidden="false" customHeight="true" outlineLevel="0" collapsed="false">
      <c r="A635" s="76"/>
      <c r="B635" s="76"/>
      <c r="C635" s="88"/>
      <c r="D635" s="89"/>
      <c r="E635" s="89"/>
      <c r="F635" s="89"/>
      <c r="G635" s="89"/>
      <c r="H635" s="89"/>
      <c r="I635" s="90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  <c r="AD635" s="89"/>
      <c r="AE635" s="89"/>
      <c r="AF635" s="89"/>
      <c r="AG635" s="89"/>
      <c r="AH635" s="89"/>
      <c r="AI635" s="89"/>
      <c r="AJ635" s="89"/>
      <c r="AK635" s="89"/>
    </row>
    <row r="636" customFormat="false" ht="15.75" hidden="false" customHeight="true" outlineLevel="0" collapsed="false">
      <c r="A636" s="76"/>
      <c r="B636" s="76"/>
      <c r="C636" s="88"/>
      <c r="D636" s="89"/>
      <c r="E636" s="89"/>
      <c r="F636" s="89"/>
      <c r="G636" s="89"/>
      <c r="H636" s="89"/>
      <c r="I636" s="90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  <c r="AD636" s="89"/>
      <c r="AE636" s="89"/>
      <c r="AF636" s="89"/>
      <c r="AG636" s="89"/>
      <c r="AH636" s="89"/>
      <c r="AI636" s="89"/>
      <c r="AJ636" s="89"/>
      <c r="AK636" s="89"/>
    </row>
    <row r="637" customFormat="false" ht="15.75" hidden="false" customHeight="true" outlineLevel="0" collapsed="false">
      <c r="A637" s="76"/>
      <c r="B637" s="76"/>
      <c r="C637" s="88"/>
      <c r="D637" s="89"/>
      <c r="E637" s="89"/>
      <c r="F637" s="89"/>
      <c r="G637" s="89"/>
      <c r="H637" s="89"/>
      <c r="I637" s="90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  <c r="AD637" s="89"/>
      <c r="AE637" s="89"/>
      <c r="AF637" s="89"/>
      <c r="AG637" s="89"/>
      <c r="AH637" s="89"/>
      <c r="AI637" s="89"/>
      <c r="AJ637" s="89"/>
      <c r="AK637" s="89"/>
    </row>
    <row r="638" customFormat="false" ht="15.75" hidden="false" customHeight="true" outlineLevel="0" collapsed="false">
      <c r="A638" s="76"/>
      <c r="B638" s="76"/>
      <c r="C638" s="88"/>
      <c r="D638" s="89"/>
      <c r="E638" s="89"/>
      <c r="F638" s="89"/>
      <c r="G638" s="89"/>
      <c r="H638" s="89"/>
      <c r="I638" s="90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89"/>
      <c r="AE638" s="89"/>
      <c r="AF638" s="89"/>
      <c r="AG638" s="89"/>
      <c r="AH638" s="89"/>
      <c r="AI638" s="89"/>
      <c r="AJ638" s="89"/>
      <c r="AK638" s="89"/>
    </row>
    <row r="639" customFormat="false" ht="15.75" hidden="false" customHeight="true" outlineLevel="0" collapsed="false">
      <c r="A639" s="76"/>
      <c r="B639" s="76"/>
      <c r="C639" s="88"/>
      <c r="D639" s="89"/>
      <c r="E639" s="89"/>
      <c r="F639" s="89"/>
      <c r="G639" s="89"/>
      <c r="H639" s="89"/>
      <c r="I639" s="90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  <c r="AD639" s="89"/>
      <c r="AE639" s="89"/>
      <c r="AF639" s="89"/>
      <c r="AG639" s="89"/>
      <c r="AH639" s="89"/>
      <c r="AI639" s="89"/>
      <c r="AJ639" s="89"/>
      <c r="AK639" s="89"/>
    </row>
    <row r="640" customFormat="false" ht="15.75" hidden="false" customHeight="true" outlineLevel="0" collapsed="false">
      <c r="A640" s="76"/>
      <c r="B640" s="76"/>
      <c r="C640" s="88"/>
      <c r="D640" s="89"/>
      <c r="E640" s="89"/>
      <c r="F640" s="89"/>
      <c r="G640" s="89"/>
      <c r="H640" s="89"/>
      <c r="I640" s="90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  <c r="AE640" s="89"/>
      <c r="AF640" s="89"/>
      <c r="AG640" s="89"/>
      <c r="AH640" s="89"/>
      <c r="AI640" s="89"/>
      <c r="AJ640" s="89"/>
      <c r="AK640" s="89"/>
    </row>
    <row r="641" customFormat="false" ht="15.75" hidden="false" customHeight="true" outlineLevel="0" collapsed="false">
      <c r="A641" s="76"/>
      <c r="B641" s="76"/>
      <c r="C641" s="88"/>
      <c r="D641" s="89"/>
      <c r="E641" s="89"/>
      <c r="F641" s="89"/>
      <c r="G641" s="89"/>
      <c r="H641" s="89"/>
      <c r="I641" s="90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  <c r="AD641" s="89"/>
      <c r="AE641" s="89"/>
      <c r="AF641" s="89"/>
      <c r="AG641" s="89"/>
      <c r="AH641" s="89"/>
      <c r="AI641" s="89"/>
      <c r="AJ641" s="89"/>
      <c r="AK641" s="89"/>
    </row>
    <row r="642" customFormat="false" ht="15.75" hidden="false" customHeight="true" outlineLevel="0" collapsed="false">
      <c r="A642" s="76"/>
      <c r="B642" s="76"/>
      <c r="C642" s="88"/>
      <c r="D642" s="89"/>
      <c r="E642" s="89"/>
      <c r="F642" s="89"/>
      <c r="G642" s="89"/>
      <c r="H642" s="89"/>
      <c r="I642" s="90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  <c r="AD642" s="89"/>
      <c r="AE642" s="89"/>
      <c r="AF642" s="89"/>
      <c r="AG642" s="89"/>
      <c r="AH642" s="89"/>
      <c r="AI642" s="89"/>
      <c r="AJ642" s="89"/>
      <c r="AK642" s="89"/>
    </row>
    <row r="643" customFormat="false" ht="15.75" hidden="false" customHeight="true" outlineLevel="0" collapsed="false">
      <c r="A643" s="76"/>
      <c r="B643" s="76"/>
      <c r="C643" s="88"/>
      <c r="D643" s="89"/>
      <c r="E643" s="89"/>
      <c r="F643" s="89"/>
      <c r="G643" s="89"/>
      <c r="H643" s="89"/>
      <c r="I643" s="90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  <c r="AD643" s="89"/>
      <c r="AE643" s="89"/>
      <c r="AF643" s="89"/>
      <c r="AG643" s="89"/>
      <c r="AH643" s="89"/>
      <c r="AI643" s="89"/>
      <c r="AJ643" s="89"/>
      <c r="AK643" s="89"/>
    </row>
    <row r="644" customFormat="false" ht="15.75" hidden="false" customHeight="true" outlineLevel="0" collapsed="false">
      <c r="A644" s="76"/>
      <c r="B644" s="76"/>
      <c r="C644" s="88"/>
      <c r="D644" s="89"/>
      <c r="E644" s="89"/>
      <c r="F644" s="89"/>
      <c r="G644" s="89"/>
      <c r="H644" s="89"/>
      <c r="I644" s="90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  <c r="AD644" s="89"/>
      <c r="AE644" s="89"/>
      <c r="AF644" s="89"/>
      <c r="AG644" s="89"/>
      <c r="AH644" s="89"/>
      <c r="AI644" s="89"/>
      <c r="AJ644" s="89"/>
      <c r="AK644" s="89"/>
    </row>
    <row r="645" customFormat="false" ht="15.75" hidden="false" customHeight="true" outlineLevel="0" collapsed="false">
      <c r="A645" s="76"/>
      <c r="B645" s="76"/>
      <c r="C645" s="88"/>
      <c r="D645" s="89"/>
      <c r="E645" s="89"/>
      <c r="F645" s="89"/>
      <c r="G645" s="89"/>
      <c r="H645" s="89"/>
      <c r="I645" s="90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  <c r="AD645" s="89"/>
      <c r="AE645" s="89"/>
      <c r="AF645" s="89"/>
      <c r="AG645" s="89"/>
      <c r="AH645" s="89"/>
      <c r="AI645" s="89"/>
      <c r="AJ645" s="89"/>
      <c r="AK645" s="89"/>
    </row>
    <row r="646" customFormat="false" ht="15.75" hidden="false" customHeight="true" outlineLevel="0" collapsed="false">
      <c r="A646" s="76"/>
      <c r="B646" s="76"/>
      <c r="C646" s="88"/>
      <c r="D646" s="89"/>
      <c r="E646" s="89"/>
      <c r="F646" s="89"/>
      <c r="G646" s="89"/>
      <c r="H646" s="89"/>
      <c r="I646" s="90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  <c r="AD646" s="89"/>
      <c r="AE646" s="89"/>
      <c r="AF646" s="89"/>
      <c r="AG646" s="89"/>
      <c r="AH646" s="89"/>
      <c r="AI646" s="89"/>
      <c r="AJ646" s="89"/>
      <c r="AK646" s="89"/>
    </row>
    <row r="647" customFormat="false" ht="15.75" hidden="false" customHeight="true" outlineLevel="0" collapsed="false">
      <c r="A647" s="76"/>
      <c r="B647" s="76"/>
      <c r="C647" s="88"/>
      <c r="D647" s="89"/>
      <c r="E647" s="89"/>
      <c r="F647" s="89"/>
      <c r="G647" s="89"/>
      <c r="H647" s="89"/>
      <c r="I647" s="90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  <c r="AD647" s="89"/>
      <c r="AE647" s="89"/>
      <c r="AF647" s="89"/>
      <c r="AG647" s="89"/>
      <c r="AH647" s="89"/>
      <c r="AI647" s="89"/>
      <c r="AJ647" s="89"/>
      <c r="AK647" s="89"/>
    </row>
    <row r="648" customFormat="false" ht="15.75" hidden="false" customHeight="true" outlineLevel="0" collapsed="false">
      <c r="A648" s="76"/>
      <c r="B648" s="76"/>
      <c r="C648" s="88"/>
      <c r="D648" s="89"/>
      <c r="E648" s="89"/>
      <c r="F648" s="89"/>
      <c r="G648" s="89"/>
      <c r="H648" s="89"/>
      <c r="I648" s="90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  <c r="AD648" s="89"/>
      <c r="AE648" s="89"/>
      <c r="AF648" s="89"/>
      <c r="AG648" s="89"/>
      <c r="AH648" s="89"/>
      <c r="AI648" s="89"/>
      <c r="AJ648" s="89"/>
      <c r="AK648" s="89"/>
    </row>
    <row r="649" customFormat="false" ht="15.75" hidden="false" customHeight="true" outlineLevel="0" collapsed="false">
      <c r="A649" s="76"/>
      <c r="B649" s="76"/>
      <c r="C649" s="88"/>
      <c r="D649" s="89"/>
      <c r="E649" s="89"/>
      <c r="F649" s="89"/>
      <c r="G649" s="89"/>
      <c r="H649" s="89"/>
      <c r="I649" s="90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  <c r="AD649" s="89"/>
      <c r="AE649" s="89"/>
      <c r="AF649" s="89"/>
      <c r="AG649" s="89"/>
      <c r="AH649" s="89"/>
      <c r="AI649" s="89"/>
      <c r="AJ649" s="89"/>
      <c r="AK649" s="89"/>
    </row>
    <row r="650" customFormat="false" ht="15.75" hidden="false" customHeight="true" outlineLevel="0" collapsed="false">
      <c r="A650" s="76"/>
      <c r="B650" s="76"/>
      <c r="C650" s="88"/>
      <c r="D650" s="89"/>
      <c r="E650" s="89"/>
      <c r="F650" s="89"/>
      <c r="G650" s="89"/>
      <c r="H650" s="89"/>
      <c r="I650" s="90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  <c r="AD650" s="89"/>
      <c r="AE650" s="89"/>
      <c r="AF650" s="89"/>
      <c r="AG650" s="89"/>
      <c r="AH650" s="89"/>
      <c r="AI650" s="89"/>
      <c r="AJ650" s="89"/>
      <c r="AK650" s="89"/>
    </row>
    <row r="651" customFormat="false" ht="15.75" hidden="false" customHeight="true" outlineLevel="0" collapsed="false">
      <c r="A651" s="76"/>
      <c r="B651" s="76"/>
      <c r="C651" s="88"/>
      <c r="D651" s="89"/>
      <c r="E651" s="89"/>
      <c r="F651" s="89"/>
      <c r="G651" s="89"/>
      <c r="H651" s="89"/>
      <c r="I651" s="90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  <c r="AD651" s="89"/>
      <c r="AE651" s="89"/>
      <c r="AF651" s="89"/>
      <c r="AG651" s="89"/>
      <c r="AH651" s="89"/>
      <c r="AI651" s="89"/>
      <c r="AJ651" s="89"/>
      <c r="AK651" s="89"/>
    </row>
    <row r="652" customFormat="false" ht="15.75" hidden="false" customHeight="true" outlineLevel="0" collapsed="false">
      <c r="A652" s="76"/>
      <c r="B652" s="76"/>
      <c r="C652" s="88"/>
      <c r="D652" s="89"/>
      <c r="E652" s="89"/>
      <c r="F652" s="89"/>
      <c r="G652" s="89"/>
      <c r="H652" s="89"/>
      <c r="I652" s="90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89"/>
      <c r="AE652" s="89"/>
      <c r="AF652" s="89"/>
      <c r="AG652" s="89"/>
      <c r="AH652" s="89"/>
      <c r="AI652" s="89"/>
      <c r="AJ652" s="89"/>
      <c r="AK652" s="89"/>
    </row>
    <row r="653" customFormat="false" ht="15.75" hidden="false" customHeight="true" outlineLevel="0" collapsed="false">
      <c r="A653" s="76"/>
      <c r="B653" s="76"/>
      <c r="C653" s="88"/>
      <c r="D653" s="89"/>
      <c r="E653" s="89"/>
      <c r="F653" s="89"/>
      <c r="G653" s="89"/>
      <c r="H653" s="89"/>
      <c r="I653" s="90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  <c r="AE653" s="89"/>
      <c r="AF653" s="89"/>
      <c r="AG653" s="89"/>
      <c r="AH653" s="89"/>
      <c r="AI653" s="89"/>
      <c r="AJ653" s="89"/>
      <c r="AK653" s="89"/>
    </row>
    <row r="654" customFormat="false" ht="15.75" hidden="false" customHeight="true" outlineLevel="0" collapsed="false">
      <c r="A654" s="76"/>
      <c r="B654" s="76"/>
      <c r="C654" s="88"/>
      <c r="D654" s="89"/>
      <c r="E654" s="89"/>
      <c r="F654" s="89"/>
      <c r="G654" s="89"/>
      <c r="H654" s="89"/>
      <c r="I654" s="90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  <c r="AE654" s="89"/>
      <c r="AF654" s="89"/>
      <c r="AG654" s="89"/>
      <c r="AH654" s="89"/>
      <c r="AI654" s="89"/>
      <c r="AJ654" s="89"/>
      <c r="AK654" s="89"/>
    </row>
    <row r="655" customFormat="false" ht="15.75" hidden="false" customHeight="true" outlineLevel="0" collapsed="false">
      <c r="A655" s="76"/>
      <c r="B655" s="76"/>
      <c r="C655" s="88"/>
      <c r="D655" s="89"/>
      <c r="E655" s="89"/>
      <c r="F655" s="89"/>
      <c r="G655" s="89"/>
      <c r="H655" s="89"/>
      <c r="I655" s="90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  <c r="AD655" s="89"/>
      <c r="AE655" s="89"/>
      <c r="AF655" s="89"/>
      <c r="AG655" s="89"/>
      <c r="AH655" s="89"/>
      <c r="AI655" s="89"/>
      <c r="AJ655" s="89"/>
      <c r="AK655" s="89"/>
    </row>
    <row r="656" customFormat="false" ht="15.75" hidden="false" customHeight="true" outlineLevel="0" collapsed="false">
      <c r="A656" s="76"/>
      <c r="B656" s="76"/>
      <c r="C656" s="88"/>
      <c r="D656" s="89"/>
      <c r="E656" s="89"/>
      <c r="F656" s="89"/>
      <c r="G656" s="89"/>
      <c r="H656" s="89"/>
      <c r="I656" s="90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</row>
    <row r="657" customFormat="false" ht="15.75" hidden="false" customHeight="true" outlineLevel="0" collapsed="false">
      <c r="A657" s="76"/>
      <c r="B657" s="76"/>
      <c r="C657" s="88"/>
      <c r="D657" s="89"/>
      <c r="E657" s="89"/>
      <c r="F657" s="89"/>
      <c r="G657" s="89"/>
      <c r="H657" s="89"/>
      <c r="I657" s="90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</row>
    <row r="658" customFormat="false" ht="15.75" hidden="false" customHeight="true" outlineLevel="0" collapsed="false">
      <c r="A658" s="76"/>
      <c r="B658" s="76"/>
      <c r="C658" s="88"/>
      <c r="D658" s="89"/>
      <c r="E658" s="89"/>
      <c r="F658" s="89"/>
      <c r="G658" s="89"/>
      <c r="H658" s="89"/>
      <c r="I658" s="90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</row>
    <row r="659" customFormat="false" ht="15.75" hidden="false" customHeight="true" outlineLevel="0" collapsed="false">
      <c r="A659" s="76"/>
      <c r="B659" s="76"/>
      <c r="C659" s="88"/>
      <c r="D659" s="89"/>
      <c r="E659" s="89"/>
      <c r="F659" s="89"/>
      <c r="G659" s="89"/>
      <c r="H659" s="89"/>
      <c r="I659" s="90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  <c r="AD659" s="89"/>
      <c r="AE659" s="89"/>
      <c r="AF659" s="89"/>
      <c r="AG659" s="89"/>
      <c r="AH659" s="89"/>
      <c r="AI659" s="89"/>
      <c r="AJ659" s="89"/>
      <c r="AK659" s="89"/>
    </row>
    <row r="660" customFormat="false" ht="15.75" hidden="false" customHeight="true" outlineLevel="0" collapsed="false">
      <c r="A660" s="76"/>
      <c r="B660" s="76"/>
      <c r="C660" s="88"/>
      <c r="D660" s="89"/>
      <c r="E660" s="89"/>
      <c r="F660" s="89"/>
      <c r="G660" s="89"/>
      <c r="H660" s="89"/>
      <c r="I660" s="90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  <c r="AD660" s="89"/>
      <c r="AE660" s="89"/>
      <c r="AF660" s="89"/>
      <c r="AG660" s="89"/>
      <c r="AH660" s="89"/>
      <c r="AI660" s="89"/>
      <c r="AJ660" s="89"/>
      <c r="AK660" s="89"/>
    </row>
    <row r="661" customFormat="false" ht="15.75" hidden="false" customHeight="true" outlineLevel="0" collapsed="false">
      <c r="A661" s="76"/>
      <c r="B661" s="76"/>
      <c r="C661" s="88"/>
      <c r="D661" s="89"/>
      <c r="E661" s="89"/>
      <c r="F661" s="89"/>
      <c r="G661" s="89"/>
      <c r="H661" s="89"/>
      <c r="I661" s="90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  <c r="AD661" s="89"/>
      <c r="AE661" s="89"/>
      <c r="AF661" s="89"/>
      <c r="AG661" s="89"/>
      <c r="AH661" s="89"/>
      <c r="AI661" s="89"/>
      <c r="AJ661" s="89"/>
      <c r="AK661" s="89"/>
    </row>
    <row r="662" customFormat="false" ht="15.75" hidden="false" customHeight="true" outlineLevel="0" collapsed="false">
      <c r="A662" s="76"/>
      <c r="B662" s="76"/>
      <c r="C662" s="88"/>
      <c r="D662" s="89"/>
      <c r="E662" s="89"/>
      <c r="F662" s="89"/>
      <c r="G662" s="89"/>
      <c r="H662" s="89"/>
      <c r="I662" s="90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  <c r="AD662" s="89"/>
      <c r="AE662" s="89"/>
      <c r="AF662" s="89"/>
      <c r="AG662" s="89"/>
      <c r="AH662" s="89"/>
      <c r="AI662" s="89"/>
      <c r="AJ662" s="89"/>
      <c r="AK662" s="89"/>
    </row>
    <row r="663" customFormat="false" ht="15.75" hidden="false" customHeight="true" outlineLevel="0" collapsed="false">
      <c r="A663" s="76"/>
      <c r="B663" s="76"/>
      <c r="C663" s="88"/>
      <c r="D663" s="89"/>
      <c r="E663" s="89"/>
      <c r="F663" s="89"/>
      <c r="G663" s="89"/>
      <c r="H663" s="89"/>
      <c r="I663" s="90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  <c r="AD663" s="89"/>
      <c r="AE663" s="89"/>
      <c r="AF663" s="89"/>
      <c r="AG663" s="89"/>
      <c r="AH663" s="89"/>
      <c r="AI663" s="89"/>
      <c r="AJ663" s="89"/>
      <c r="AK663" s="89"/>
    </row>
    <row r="664" customFormat="false" ht="15.75" hidden="false" customHeight="true" outlineLevel="0" collapsed="false">
      <c r="A664" s="76"/>
      <c r="B664" s="76"/>
      <c r="C664" s="88"/>
      <c r="D664" s="89"/>
      <c r="E664" s="89"/>
      <c r="F664" s="89"/>
      <c r="G664" s="89"/>
      <c r="H664" s="89"/>
      <c r="I664" s="90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89"/>
      <c r="AE664" s="89"/>
      <c r="AF664" s="89"/>
      <c r="AG664" s="89"/>
      <c r="AH664" s="89"/>
      <c r="AI664" s="89"/>
      <c r="AJ664" s="89"/>
      <c r="AK664" s="89"/>
    </row>
    <row r="665" customFormat="false" ht="15.75" hidden="false" customHeight="true" outlineLevel="0" collapsed="false">
      <c r="A665" s="76"/>
      <c r="B665" s="76"/>
      <c r="C665" s="88"/>
      <c r="D665" s="89"/>
      <c r="E665" s="89"/>
      <c r="F665" s="89"/>
      <c r="G665" s="89"/>
      <c r="H665" s="89"/>
      <c r="I665" s="90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  <c r="AD665" s="89"/>
      <c r="AE665" s="89"/>
      <c r="AF665" s="89"/>
      <c r="AG665" s="89"/>
      <c r="AH665" s="89"/>
      <c r="AI665" s="89"/>
      <c r="AJ665" s="89"/>
      <c r="AK665" s="89"/>
    </row>
    <row r="666" customFormat="false" ht="15.75" hidden="false" customHeight="true" outlineLevel="0" collapsed="false">
      <c r="A666" s="76"/>
      <c r="B666" s="76"/>
      <c r="C666" s="88"/>
      <c r="D666" s="89"/>
      <c r="E666" s="89"/>
      <c r="F666" s="89"/>
      <c r="G666" s="89"/>
      <c r="H666" s="89"/>
      <c r="I666" s="90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  <c r="AD666" s="89"/>
      <c r="AE666" s="89"/>
      <c r="AF666" s="89"/>
      <c r="AG666" s="89"/>
      <c r="AH666" s="89"/>
      <c r="AI666" s="89"/>
      <c r="AJ666" s="89"/>
      <c r="AK666" s="89"/>
    </row>
    <row r="667" customFormat="false" ht="15.75" hidden="false" customHeight="true" outlineLevel="0" collapsed="false">
      <c r="A667" s="76"/>
      <c r="B667" s="76"/>
      <c r="C667" s="88"/>
      <c r="D667" s="89"/>
      <c r="E667" s="89"/>
      <c r="F667" s="89"/>
      <c r="G667" s="89"/>
      <c r="H667" s="89"/>
      <c r="I667" s="90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  <c r="AD667" s="89"/>
      <c r="AE667" s="89"/>
      <c r="AF667" s="89"/>
      <c r="AG667" s="89"/>
      <c r="AH667" s="89"/>
      <c r="AI667" s="89"/>
      <c r="AJ667" s="89"/>
      <c r="AK667" s="89"/>
    </row>
    <row r="668" customFormat="false" ht="15.75" hidden="false" customHeight="true" outlineLevel="0" collapsed="false">
      <c r="A668" s="76"/>
      <c r="B668" s="76"/>
      <c r="C668" s="88"/>
      <c r="D668" s="89"/>
      <c r="E668" s="89"/>
      <c r="F668" s="89"/>
      <c r="G668" s="89"/>
      <c r="H668" s="89"/>
      <c r="I668" s="90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  <c r="AD668" s="89"/>
      <c r="AE668" s="89"/>
      <c r="AF668" s="89"/>
      <c r="AG668" s="89"/>
      <c r="AH668" s="89"/>
      <c r="AI668" s="89"/>
      <c r="AJ668" s="89"/>
      <c r="AK668" s="89"/>
    </row>
    <row r="669" customFormat="false" ht="15.75" hidden="false" customHeight="true" outlineLevel="0" collapsed="false">
      <c r="A669" s="76"/>
      <c r="B669" s="76"/>
      <c r="C669" s="88"/>
      <c r="D669" s="89"/>
      <c r="E669" s="89"/>
      <c r="F669" s="89"/>
      <c r="G669" s="89"/>
      <c r="H669" s="89"/>
      <c r="I669" s="90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  <c r="AD669" s="89"/>
      <c r="AE669" s="89"/>
      <c r="AF669" s="89"/>
      <c r="AG669" s="89"/>
      <c r="AH669" s="89"/>
      <c r="AI669" s="89"/>
      <c r="AJ669" s="89"/>
      <c r="AK669" s="89"/>
    </row>
    <row r="670" customFormat="false" ht="15.75" hidden="false" customHeight="true" outlineLevel="0" collapsed="false">
      <c r="A670" s="76"/>
      <c r="B670" s="76"/>
      <c r="C670" s="88"/>
      <c r="D670" s="89"/>
      <c r="E670" s="89"/>
      <c r="F670" s="89"/>
      <c r="G670" s="89"/>
      <c r="H670" s="89"/>
      <c r="I670" s="90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  <c r="AD670" s="89"/>
      <c r="AE670" s="89"/>
      <c r="AF670" s="89"/>
      <c r="AG670" s="89"/>
      <c r="AH670" s="89"/>
      <c r="AI670" s="89"/>
      <c r="AJ670" s="89"/>
      <c r="AK670" s="89"/>
    </row>
    <row r="671" customFormat="false" ht="15.75" hidden="false" customHeight="true" outlineLevel="0" collapsed="false">
      <c r="A671" s="76"/>
      <c r="B671" s="76"/>
      <c r="C671" s="88"/>
      <c r="D671" s="89"/>
      <c r="E671" s="89"/>
      <c r="F671" s="89"/>
      <c r="G671" s="89"/>
      <c r="H671" s="89"/>
      <c r="I671" s="90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  <c r="AD671" s="89"/>
      <c r="AE671" s="89"/>
      <c r="AF671" s="89"/>
      <c r="AG671" s="89"/>
      <c r="AH671" s="89"/>
      <c r="AI671" s="89"/>
      <c r="AJ671" s="89"/>
      <c r="AK671" s="89"/>
    </row>
    <row r="672" customFormat="false" ht="15.75" hidden="false" customHeight="true" outlineLevel="0" collapsed="false">
      <c r="A672" s="76"/>
      <c r="B672" s="76"/>
      <c r="C672" s="88"/>
      <c r="D672" s="89"/>
      <c r="E672" s="89"/>
      <c r="F672" s="89"/>
      <c r="G672" s="89"/>
      <c r="H672" s="89"/>
      <c r="I672" s="90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  <c r="AD672" s="89"/>
      <c r="AE672" s="89"/>
      <c r="AF672" s="89"/>
      <c r="AG672" s="89"/>
      <c r="AH672" s="89"/>
      <c r="AI672" s="89"/>
      <c r="AJ672" s="89"/>
      <c r="AK672" s="89"/>
    </row>
    <row r="673" customFormat="false" ht="15.75" hidden="false" customHeight="true" outlineLevel="0" collapsed="false">
      <c r="A673" s="76"/>
      <c r="B673" s="76"/>
      <c r="C673" s="88"/>
      <c r="D673" s="89"/>
      <c r="E673" s="89"/>
      <c r="F673" s="89"/>
      <c r="G673" s="89"/>
      <c r="H673" s="89"/>
      <c r="I673" s="90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</row>
    <row r="674" customFormat="false" ht="15.75" hidden="false" customHeight="true" outlineLevel="0" collapsed="false">
      <c r="A674" s="76"/>
      <c r="B674" s="76"/>
      <c r="C674" s="88"/>
      <c r="D674" s="89"/>
      <c r="E674" s="89"/>
      <c r="F674" s="89"/>
      <c r="G674" s="89"/>
      <c r="H674" s="89"/>
      <c r="I674" s="90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</row>
    <row r="675" customFormat="false" ht="15.75" hidden="false" customHeight="true" outlineLevel="0" collapsed="false">
      <c r="A675" s="76"/>
      <c r="B675" s="76"/>
      <c r="C675" s="88"/>
      <c r="D675" s="89"/>
      <c r="E675" s="89"/>
      <c r="F675" s="89"/>
      <c r="G675" s="89"/>
      <c r="H675" s="89"/>
      <c r="I675" s="90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</row>
    <row r="676" customFormat="false" ht="15.75" hidden="false" customHeight="true" outlineLevel="0" collapsed="false">
      <c r="A676" s="76"/>
      <c r="B676" s="76"/>
      <c r="C676" s="88"/>
      <c r="D676" s="89"/>
      <c r="E676" s="89"/>
      <c r="F676" s="89"/>
      <c r="G676" s="89"/>
      <c r="H676" s="89"/>
      <c r="I676" s="90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</row>
    <row r="677" customFormat="false" ht="15.75" hidden="false" customHeight="true" outlineLevel="0" collapsed="false">
      <c r="A677" s="76"/>
      <c r="B677" s="76"/>
      <c r="C677" s="88"/>
      <c r="D677" s="89"/>
      <c r="E677" s="89"/>
      <c r="F677" s="89"/>
      <c r="G677" s="89"/>
      <c r="H677" s="89"/>
      <c r="I677" s="90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</row>
    <row r="678" customFormat="false" ht="15.75" hidden="false" customHeight="true" outlineLevel="0" collapsed="false">
      <c r="A678" s="76"/>
      <c r="B678" s="76"/>
      <c r="C678" s="88"/>
      <c r="D678" s="89"/>
      <c r="E678" s="89"/>
      <c r="F678" s="89"/>
      <c r="G678" s="89"/>
      <c r="H678" s="89"/>
      <c r="I678" s="90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</row>
    <row r="679" customFormat="false" ht="15.75" hidden="false" customHeight="true" outlineLevel="0" collapsed="false">
      <c r="A679" s="76"/>
      <c r="B679" s="76"/>
      <c r="C679" s="88"/>
      <c r="D679" s="89"/>
      <c r="E679" s="89"/>
      <c r="F679" s="89"/>
      <c r="G679" s="89"/>
      <c r="H679" s="89"/>
      <c r="I679" s="90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</row>
    <row r="680" customFormat="false" ht="15.75" hidden="false" customHeight="true" outlineLevel="0" collapsed="false">
      <c r="A680" s="76"/>
      <c r="B680" s="76"/>
      <c r="C680" s="88"/>
      <c r="D680" s="89"/>
      <c r="E680" s="89"/>
      <c r="F680" s="89"/>
      <c r="G680" s="89"/>
      <c r="H680" s="89"/>
      <c r="I680" s="90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</row>
    <row r="681" customFormat="false" ht="15.75" hidden="false" customHeight="true" outlineLevel="0" collapsed="false">
      <c r="A681" s="76"/>
      <c r="B681" s="76"/>
      <c r="C681" s="88"/>
      <c r="D681" s="89"/>
      <c r="E681" s="89"/>
      <c r="F681" s="89"/>
      <c r="G681" s="89"/>
      <c r="H681" s="89"/>
      <c r="I681" s="90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</row>
    <row r="682" customFormat="false" ht="15.75" hidden="false" customHeight="true" outlineLevel="0" collapsed="false">
      <c r="A682" s="76"/>
      <c r="B682" s="76"/>
      <c r="C682" s="88"/>
      <c r="D682" s="89"/>
      <c r="E682" s="89"/>
      <c r="F682" s="89"/>
      <c r="G682" s="89"/>
      <c r="H682" s="89"/>
      <c r="I682" s="90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</row>
    <row r="683" customFormat="false" ht="15.75" hidden="false" customHeight="true" outlineLevel="0" collapsed="false">
      <c r="A683" s="76"/>
      <c r="B683" s="76"/>
      <c r="C683" s="88"/>
      <c r="D683" s="89"/>
      <c r="E683" s="89"/>
      <c r="F683" s="89"/>
      <c r="G683" s="89"/>
      <c r="H683" s="89"/>
      <c r="I683" s="90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</row>
    <row r="684" customFormat="false" ht="15.75" hidden="false" customHeight="true" outlineLevel="0" collapsed="false">
      <c r="A684" s="76"/>
      <c r="B684" s="76"/>
      <c r="C684" s="88"/>
      <c r="D684" s="89"/>
      <c r="E684" s="89"/>
      <c r="F684" s="89"/>
      <c r="G684" s="89"/>
      <c r="H684" s="89"/>
      <c r="I684" s="90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</row>
    <row r="685" customFormat="false" ht="15.75" hidden="false" customHeight="true" outlineLevel="0" collapsed="false">
      <c r="A685" s="76"/>
      <c r="B685" s="76"/>
      <c r="C685" s="88"/>
      <c r="D685" s="89"/>
      <c r="E685" s="89"/>
      <c r="F685" s="89"/>
      <c r="G685" s="89"/>
      <c r="H685" s="89"/>
      <c r="I685" s="90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</row>
    <row r="686" customFormat="false" ht="15.75" hidden="false" customHeight="true" outlineLevel="0" collapsed="false">
      <c r="A686" s="76"/>
      <c r="B686" s="76"/>
      <c r="C686" s="88"/>
      <c r="D686" s="89"/>
      <c r="E686" s="89"/>
      <c r="F686" s="89"/>
      <c r="G686" s="89"/>
      <c r="H686" s="89"/>
      <c r="I686" s="90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  <c r="AD686" s="89"/>
      <c r="AE686" s="89"/>
      <c r="AF686" s="89"/>
      <c r="AG686" s="89"/>
      <c r="AH686" s="89"/>
      <c r="AI686" s="89"/>
      <c r="AJ686" s="89"/>
      <c r="AK686" s="89"/>
    </row>
    <row r="687" customFormat="false" ht="15.75" hidden="false" customHeight="true" outlineLevel="0" collapsed="false">
      <c r="A687" s="76"/>
      <c r="B687" s="76"/>
      <c r="C687" s="88"/>
      <c r="D687" s="89"/>
      <c r="E687" s="89"/>
      <c r="F687" s="89"/>
      <c r="G687" s="89"/>
      <c r="H687" s="89"/>
      <c r="I687" s="90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</row>
    <row r="688" customFormat="false" ht="15.75" hidden="false" customHeight="true" outlineLevel="0" collapsed="false">
      <c r="A688" s="76"/>
      <c r="B688" s="76"/>
      <c r="C688" s="88"/>
      <c r="D688" s="89"/>
      <c r="E688" s="89"/>
      <c r="F688" s="89"/>
      <c r="G688" s="89"/>
      <c r="H688" s="89"/>
      <c r="I688" s="90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</row>
    <row r="689" customFormat="false" ht="15.75" hidden="false" customHeight="true" outlineLevel="0" collapsed="false">
      <c r="A689" s="76"/>
      <c r="B689" s="76"/>
      <c r="C689" s="88"/>
      <c r="D689" s="89"/>
      <c r="E689" s="89"/>
      <c r="F689" s="89"/>
      <c r="G689" s="89"/>
      <c r="H689" s="89"/>
      <c r="I689" s="90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</row>
    <row r="690" customFormat="false" ht="15.75" hidden="false" customHeight="true" outlineLevel="0" collapsed="false">
      <c r="A690" s="76"/>
      <c r="B690" s="76"/>
      <c r="C690" s="88"/>
      <c r="D690" s="89"/>
      <c r="E690" s="89"/>
      <c r="F690" s="89"/>
      <c r="G690" s="89"/>
      <c r="H690" s="89"/>
      <c r="I690" s="90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  <c r="AD690" s="89"/>
      <c r="AE690" s="89"/>
      <c r="AF690" s="89"/>
      <c r="AG690" s="89"/>
      <c r="AH690" s="89"/>
      <c r="AI690" s="89"/>
      <c r="AJ690" s="89"/>
      <c r="AK690" s="89"/>
    </row>
    <row r="691" customFormat="false" ht="15.75" hidden="false" customHeight="true" outlineLevel="0" collapsed="false">
      <c r="A691" s="76"/>
      <c r="B691" s="76"/>
      <c r="C691" s="88"/>
      <c r="D691" s="89"/>
      <c r="E691" s="89"/>
      <c r="F691" s="89"/>
      <c r="G691" s="89"/>
      <c r="H691" s="89"/>
      <c r="I691" s="90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</row>
    <row r="692" customFormat="false" ht="15.75" hidden="false" customHeight="true" outlineLevel="0" collapsed="false">
      <c r="A692" s="76"/>
      <c r="B692" s="76"/>
      <c r="C692" s="88"/>
      <c r="D692" s="89"/>
      <c r="E692" s="89"/>
      <c r="F692" s="89"/>
      <c r="G692" s="89"/>
      <c r="H692" s="89"/>
      <c r="I692" s="90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  <c r="AD692" s="89"/>
      <c r="AE692" s="89"/>
      <c r="AF692" s="89"/>
      <c r="AG692" s="89"/>
      <c r="AH692" s="89"/>
      <c r="AI692" s="89"/>
      <c r="AJ692" s="89"/>
      <c r="AK692" s="89"/>
    </row>
    <row r="693" customFormat="false" ht="15.75" hidden="false" customHeight="true" outlineLevel="0" collapsed="false">
      <c r="A693" s="76"/>
      <c r="B693" s="76"/>
      <c r="C693" s="88"/>
      <c r="D693" s="89"/>
      <c r="E693" s="89"/>
      <c r="F693" s="89"/>
      <c r="G693" s="89"/>
      <c r="H693" s="89"/>
      <c r="I693" s="90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</row>
    <row r="694" customFormat="false" ht="15.75" hidden="false" customHeight="true" outlineLevel="0" collapsed="false">
      <c r="A694" s="76"/>
      <c r="B694" s="76"/>
      <c r="C694" s="88"/>
      <c r="D694" s="89"/>
      <c r="E694" s="89"/>
      <c r="F694" s="89"/>
      <c r="G694" s="89"/>
      <c r="H694" s="89"/>
      <c r="I694" s="90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</row>
    <row r="695" customFormat="false" ht="15.75" hidden="false" customHeight="true" outlineLevel="0" collapsed="false">
      <c r="A695" s="76"/>
      <c r="B695" s="76"/>
      <c r="C695" s="88"/>
      <c r="D695" s="89"/>
      <c r="E695" s="89"/>
      <c r="F695" s="89"/>
      <c r="G695" s="89"/>
      <c r="H695" s="89"/>
      <c r="I695" s="90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</row>
    <row r="696" customFormat="false" ht="15.75" hidden="false" customHeight="true" outlineLevel="0" collapsed="false">
      <c r="A696" s="76"/>
      <c r="B696" s="76"/>
      <c r="C696" s="88"/>
      <c r="D696" s="89"/>
      <c r="E696" s="89"/>
      <c r="F696" s="89"/>
      <c r="G696" s="89"/>
      <c r="H696" s="89"/>
      <c r="I696" s="90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  <c r="AD696" s="89"/>
      <c r="AE696" s="89"/>
      <c r="AF696" s="89"/>
      <c r="AG696" s="89"/>
      <c r="AH696" s="89"/>
      <c r="AI696" s="89"/>
      <c r="AJ696" s="89"/>
      <c r="AK696" s="89"/>
    </row>
    <row r="697" customFormat="false" ht="15.75" hidden="false" customHeight="true" outlineLevel="0" collapsed="false">
      <c r="A697" s="76"/>
      <c r="B697" s="76"/>
      <c r="C697" s="88"/>
      <c r="D697" s="89"/>
      <c r="E697" s="89"/>
      <c r="F697" s="89"/>
      <c r="G697" s="89"/>
      <c r="H697" s="89"/>
      <c r="I697" s="90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</row>
    <row r="698" customFormat="false" ht="15.75" hidden="false" customHeight="true" outlineLevel="0" collapsed="false">
      <c r="A698" s="76"/>
      <c r="B698" s="76"/>
      <c r="C698" s="88"/>
      <c r="D698" s="89"/>
      <c r="E698" s="89"/>
      <c r="F698" s="89"/>
      <c r="G698" s="89"/>
      <c r="H698" s="89"/>
      <c r="I698" s="90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  <c r="AD698" s="89"/>
      <c r="AE698" s="89"/>
      <c r="AF698" s="89"/>
      <c r="AG698" s="89"/>
      <c r="AH698" s="89"/>
      <c r="AI698" s="89"/>
      <c r="AJ698" s="89"/>
      <c r="AK698" s="89"/>
    </row>
    <row r="699" customFormat="false" ht="15.75" hidden="false" customHeight="true" outlineLevel="0" collapsed="false">
      <c r="A699" s="76"/>
      <c r="B699" s="76"/>
      <c r="C699" s="88"/>
      <c r="D699" s="89"/>
      <c r="E699" s="89"/>
      <c r="F699" s="89"/>
      <c r="G699" s="89"/>
      <c r="H699" s="89"/>
      <c r="I699" s="90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</row>
    <row r="700" customFormat="false" ht="15.75" hidden="false" customHeight="true" outlineLevel="0" collapsed="false">
      <c r="A700" s="76"/>
      <c r="B700" s="76"/>
      <c r="C700" s="88"/>
      <c r="D700" s="89"/>
      <c r="E700" s="89"/>
      <c r="F700" s="89"/>
      <c r="G700" s="89"/>
      <c r="H700" s="89"/>
      <c r="I700" s="90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  <c r="AD700" s="89"/>
      <c r="AE700" s="89"/>
      <c r="AF700" s="89"/>
      <c r="AG700" s="89"/>
      <c r="AH700" s="89"/>
      <c r="AI700" s="89"/>
      <c r="AJ700" s="89"/>
      <c r="AK700" s="89"/>
    </row>
    <row r="701" customFormat="false" ht="15.75" hidden="false" customHeight="true" outlineLevel="0" collapsed="false">
      <c r="A701" s="76"/>
      <c r="B701" s="76"/>
      <c r="C701" s="88"/>
      <c r="D701" s="89"/>
      <c r="E701" s="89"/>
      <c r="F701" s="89"/>
      <c r="G701" s="89"/>
      <c r="H701" s="89"/>
      <c r="I701" s="90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</row>
    <row r="702" customFormat="false" ht="15.75" hidden="false" customHeight="true" outlineLevel="0" collapsed="false">
      <c r="A702" s="76"/>
      <c r="B702" s="76"/>
      <c r="C702" s="88"/>
      <c r="D702" s="89"/>
      <c r="E702" s="89"/>
      <c r="F702" s="89"/>
      <c r="G702" s="89"/>
      <c r="H702" s="89"/>
      <c r="I702" s="90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  <c r="AD702" s="89"/>
      <c r="AE702" s="89"/>
      <c r="AF702" s="89"/>
      <c r="AG702" s="89"/>
      <c r="AH702" s="89"/>
      <c r="AI702" s="89"/>
      <c r="AJ702" s="89"/>
      <c r="AK702" s="89"/>
    </row>
    <row r="703" customFormat="false" ht="15.75" hidden="false" customHeight="true" outlineLevel="0" collapsed="false">
      <c r="A703" s="76"/>
      <c r="B703" s="76"/>
      <c r="C703" s="88"/>
      <c r="D703" s="89"/>
      <c r="E703" s="89"/>
      <c r="F703" s="89"/>
      <c r="G703" s="89"/>
      <c r="H703" s="89"/>
      <c r="I703" s="90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</row>
    <row r="704" customFormat="false" ht="15.75" hidden="false" customHeight="true" outlineLevel="0" collapsed="false">
      <c r="A704" s="76"/>
      <c r="B704" s="76"/>
      <c r="C704" s="88"/>
      <c r="D704" s="89"/>
      <c r="E704" s="89"/>
      <c r="F704" s="89"/>
      <c r="G704" s="89"/>
      <c r="H704" s="89"/>
      <c r="I704" s="90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  <c r="AD704" s="89"/>
      <c r="AE704" s="89"/>
      <c r="AF704" s="89"/>
      <c r="AG704" s="89"/>
      <c r="AH704" s="89"/>
      <c r="AI704" s="89"/>
      <c r="AJ704" s="89"/>
      <c r="AK704" s="89"/>
    </row>
    <row r="705" customFormat="false" ht="15.75" hidden="false" customHeight="true" outlineLevel="0" collapsed="false">
      <c r="A705" s="76"/>
      <c r="B705" s="76"/>
      <c r="C705" s="88"/>
      <c r="D705" s="89"/>
      <c r="E705" s="89"/>
      <c r="F705" s="89"/>
      <c r="G705" s="89"/>
      <c r="H705" s="89"/>
      <c r="I705" s="90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</row>
    <row r="706" customFormat="false" ht="15.75" hidden="false" customHeight="true" outlineLevel="0" collapsed="false">
      <c r="A706" s="76"/>
      <c r="B706" s="76"/>
      <c r="C706" s="88"/>
      <c r="D706" s="89"/>
      <c r="E706" s="89"/>
      <c r="F706" s="89"/>
      <c r="G706" s="89"/>
      <c r="H706" s="89"/>
      <c r="I706" s="90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  <c r="AD706" s="89"/>
      <c r="AE706" s="89"/>
      <c r="AF706" s="89"/>
      <c r="AG706" s="89"/>
      <c r="AH706" s="89"/>
      <c r="AI706" s="89"/>
      <c r="AJ706" s="89"/>
      <c r="AK706" s="89"/>
    </row>
    <row r="707" customFormat="false" ht="15.75" hidden="false" customHeight="true" outlineLevel="0" collapsed="false">
      <c r="A707" s="76"/>
      <c r="B707" s="76"/>
      <c r="C707" s="88"/>
      <c r="D707" s="89"/>
      <c r="E707" s="89"/>
      <c r="F707" s="89"/>
      <c r="G707" s="89"/>
      <c r="H707" s="89"/>
      <c r="I707" s="90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</row>
    <row r="708" customFormat="false" ht="15.75" hidden="false" customHeight="true" outlineLevel="0" collapsed="false">
      <c r="A708" s="76"/>
      <c r="B708" s="76"/>
      <c r="C708" s="88"/>
      <c r="D708" s="89"/>
      <c r="E708" s="89"/>
      <c r="F708" s="89"/>
      <c r="G708" s="89"/>
      <c r="H708" s="89"/>
      <c r="I708" s="90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</row>
    <row r="709" customFormat="false" ht="15.75" hidden="false" customHeight="true" outlineLevel="0" collapsed="false">
      <c r="A709" s="76"/>
      <c r="B709" s="76"/>
      <c r="C709" s="88"/>
      <c r="D709" s="89"/>
      <c r="E709" s="89"/>
      <c r="F709" s="89"/>
      <c r="G709" s="89"/>
      <c r="H709" s="89"/>
      <c r="I709" s="90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</row>
    <row r="710" customFormat="false" ht="15.75" hidden="false" customHeight="true" outlineLevel="0" collapsed="false">
      <c r="A710" s="76"/>
      <c r="B710" s="76"/>
      <c r="C710" s="88"/>
      <c r="D710" s="89"/>
      <c r="E710" s="89"/>
      <c r="F710" s="89"/>
      <c r="G710" s="89"/>
      <c r="H710" s="89"/>
      <c r="I710" s="90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</row>
    <row r="711" customFormat="false" ht="15.75" hidden="false" customHeight="true" outlineLevel="0" collapsed="false">
      <c r="A711" s="76"/>
      <c r="B711" s="76"/>
      <c r="C711" s="88"/>
      <c r="D711" s="89"/>
      <c r="E711" s="89"/>
      <c r="F711" s="89"/>
      <c r="G711" s="89"/>
      <c r="H711" s="89"/>
      <c r="I711" s="90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</row>
    <row r="712" customFormat="false" ht="15.75" hidden="false" customHeight="true" outlineLevel="0" collapsed="false">
      <c r="A712" s="76"/>
      <c r="B712" s="76"/>
      <c r="C712" s="88"/>
      <c r="D712" s="89"/>
      <c r="E712" s="89"/>
      <c r="F712" s="89"/>
      <c r="G712" s="89"/>
      <c r="H712" s="89"/>
      <c r="I712" s="90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89"/>
      <c r="AE712" s="89"/>
      <c r="AF712" s="89"/>
      <c r="AG712" s="89"/>
      <c r="AH712" s="89"/>
      <c r="AI712" s="89"/>
      <c r="AJ712" s="89"/>
      <c r="AK712" s="89"/>
    </row>
    <row r="713" customFormat="false" ht="15.75" hidden="false" customHeight="true" outlineLevel="0" collapsed="false">
      <c r="A713" s="76"/>
      <c r="B713" s="76"/>
      <c r="C713" s="88"/>
      <c r="D713" s="89"/>
      <c r="E713" s="89"/>
      <c r="F713" s="89"/>
      <c r="G713" s="89"/>
      <c r="H713" s="89"/>
      <c r="I713" s="90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  <c r="AE713" s="89"/>
      <c r="AF713" s="89"/>
      <c r="AG713" s="89"/>
      <c r="AH713" s="89"/>
      <c r="AI713" s="89"/>
      <c r="AJ713" s="89"/>
      <c r="AK713" s="89"/>
    </row>
    <row r="714" customFormat="false" ht="15.75" hidden="false" customHeight="true" outlineLevel="0" collapsed="false">
      <c r="A714" s="76"/>
      <c r="B714" s="76"/>
      <c r="C714" s="88"/>
      <c r="D714" s="89"/>
      <c r="E714" s="89"/>
      <c r="F714" s="89"/>
      <c r="G714" s="89"/>
      <c r="H714" s="89"/>
      <c r="I714" s="90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</row>
    <row r="715" customFormat="false" ht="15.75" hidden="false" customHeight="true" outlineLevel="0" collapsed="false">
      <c r="A715" s="76"/>
      <c r="B715" s="76"/>
      <c r="C715" s="88"/>
      <c r="D715" s="89"/>
      <c r="E715" s="89"/>
      <c r="F715" s="89"/>
      <c r="G715" s="89"/>
      <c r="H715" s="89"/>
      <c r="I715" s="90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  <c r="AE715" s="89"/>
      <c r="AF715" s="89"/>
      <c r="AG715" s="89"/>
      <c r="AH715" s="89"/>
      <c r="AI715" s="89"/>
      <c r="AJ715" s="89"/>
      <c r="AK715" s="89"/>
    </row>
    <row r="716" customFormat="false" ht="15.75" hidden="false" customHeight="true" outlineLevel="0" collapsed="false">
      <c r="A716" s="76"/>
      <c r="B716" s="76"/>
      <c r="C716" s="88"/>
      <c r="D716" s="89"/>
      <c r="E716" s="89"/>
      <c r="F716" s="89"/>
      <c r="G716" s="89"/>
      <c r="H716" s="89"/>
      <c r="I716" s="90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89"/>
      <c r="AE716" s="89"/>
      <c r="AF716" s="89"/>
      <c r="AG716" s="89"/>
      <c r="AH716" s="89"/>
      <c r="AI716" s="89"/>
      <c r="AJ716" s="89"/>
      <c r="AK716" s="89"/>
    </row>
    <row r="717" customFormat="false" ht="15.75" hidden="false" customHeight="true" outlineLevel="0" collapsed="false">
      <c r="A717" s="76"/>
      <c r="B717" s="76"/>
      <c r="C717" s="88"/>
      <c r="D717" s="89"/>
      <c r="E717" s="89"/>
      <c r="F717" s="89"/>
      <c r="G717" s="89"/>
      <c r="H717" s="89"/>
      <c r="I717" s="90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  <c r="AE717" s="89"/>
      <c r="AF717" s="89"/>
      <c r="AG717" s="89"/>
      <c r="AH717" s="89"/>
      <c r="AI717" s="89"/>
      <c r="AJ717" s="89"/>
      <c r="AK717" s="89"/>
    </row>
    <row r="718" customFormat="false" ht="15.75" hidden="false" customHeight="true" outlineLevel="0" collapsed="false">
      <c r="A718" s="76"/>
      <c r="B718" s="76"/>
      <c r="C718" s="88"/>
      <c r="D718" s="89"/>
      <c r="E718" s="89"/>
      <c r="F718" s="89"/>
      <c r="G718" s="89"/>
      <c r="H718" s="89"/>
      <c r="I718" s="90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89"/>
      <c r="AE718" s="89"/>
      <c r="AF718" s="89"/>
      <c r="AG718" s="89"/>
      <c r="AH718" s="89"/>
      <c r="AI718" s="89"/>
      <c r="AJ718" s="89"/>
      <c r="AK718" s="89"/>
    </row>
    <row r="719" customFormat="false" ht="15.75" hidden="false" customHeight="true" outlineLevel="0" collapsed="false">
      <c r="A719" s="76"/>
      <c r="B719" s="76"/>
      <c r="C719" s="88"/>
      <c r="D719" s="89"/>
      <c r="E719" s="89"/>
      <c r="F719" s="89"/>
      <c r="G719" s="89"/>
      <c r="H719" s="89"/>
      <c r="I719" s="90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  <c r="AE719" s="89"/>
      <c r="AF719" s="89"/>
      <c r="AG719" s="89"/>
      <c r="AH719" s="89"/>
      <c r="AI719" s="89"/>
      <c r="AJ719" s="89"/>
      <c r="AK719" s="89"/>
    </row>
    <row r="720" customFormat="false" ht="15.75" hidden="false" customHeight="true" outlineLevel="0" collapsed="false">
      <c r="A720" s="76"/>
      <c r="B720" s="76"/>
      <c r="C720" s="88"/>
      <c r="D720" s="89"/>
      <c r="E720" s="89"/>
      <c r="F720" s="89"/>
      <c r="G720" s="89"/>
      <c r="H720" s="89"/>
      <c r="I720" s="90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  <c r="AE720" s="89"/>
      <c r="AF720" s="89"/>
      <c r="AG720" s="89"/>
      <c r="AH720" s="89"/>
      <c r="AI720" s="89"/>
      <c r="AJ720" s="89"/>
      <c r="AK720" s="89"/>
    </row>
    <row r="721" customFormat="false" ht="15.75" hidden="false" customHeight="true" outlineLevel="0" collapsed="false">
      <c r="A721" s="76"/>
      <c r="B721" s="76"/>
      <c r="C721" s="88"/>
      <c r="D721" s="89"/>
      <c r="E721" s="89"/>
      <c r="F721" s="89"/>
      <c r="G721" s="89"/>
      <c r="H721" s="89"/>
      <c r="I721" s="90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  <c r="AE721" s="89"/>
      <c r="AF721" s="89"/>
      <c r="AG721" s="89"/>
      <c r="AH721" s="89"/>
      <c r="AI721" s="89"/>
      <c r="AJ721" s="89"/>
      <c r="AK721" s="89"/>
    </row>
    <row r="722" customFormat="false" ht="15.75" hidden="false" customHeight="true" outlineLevel="0" collapsed="false">
      <c r="A722" s="76"/>
      <c r="B722" s="76"/>
      <c r="C722" s="88"/>
      <c r="D722" s="89"/>
      <c r="E722" s="89"/>
      <c r="F722" s="89"/>
      <c r="G722" s="89"/>
      <c r="H722" s="89"/>
      <c r="I722" s="90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89"/>
      <c r="AE722" s="89"/>
      <c r="AF722" s="89"/>
      <c r="AG722" s="89"/>
      <c r="AH722" s="89"/>
      <c r="AI722" s="89"/>
      <c r="AJ722" s="89"/>
      <c r="AK722" s="89"/>
    </row>
    <row r="723" customFormat="false" ht="15.75" hidden="false" customHeight="true" outlineLevel="0" collapsed="false">
      <c r="A723" s="76"/>
      <c r="B723" s="76"/>
      <c r="C723" s="88"/>
      <c r="D723" s="89"/>
      <c r="E723" s="89"/>
      <c r="F723" s="89"/>
      <c r="G723" s="89"/>
      <c r="H723" s="89"/>
      <c r="I723" s="90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  <c r="AE723" s="89"/>
      <c r="AF723" s="89"/>
      <c r="AG723" s="89"/>
      <c r="AH723" s="89"/>
      <c r="AI723" s="89"/>
      <c r="AJ723" s="89"/>
      <c r="AK723" s="89"/>
    </row>
    <row r="724" customFormat="false" ht="15.75" hidden="false" customHeight="true" outlineLevel="0" collapsed="false">
      <c r="A724" s="76"/>
      <c r="B724" s="76"/>
      <c r="C724" s="88"/>
      <c r="D724" s="89"/>
      <c r="E724" s="89"/>
      <c r="F724" s="89"/>
      <c r="G724" s="89"/>
      <c r="H724" s="89"/>
      <c r="I724" s="90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  <c r="AE724" s="89"/>
      <c r="AF724" s="89"/>
      <c r="AG724" s="89"/>
      <c r="AH724" s="89"/>
      <c r="AI724" s="89"/>
      <c r="AJ724" s="89"/>
      <c r="AK724" s="89"/>
    </row>
    <row r="725" customFormat="false" ht="15.75" hidden="false" customHeight="true" outlineLevel="0" collapsed="false">
      <c r="A725" s="76"/>
      <c r="B725" s="76"/>
      <c r="C725" s="88"/>
      <c r="D725" s="89"/>
      <c r="E725" s="89"/>
      <c r="F725" s="89"/>
      <c r="G725" s="89"/>
      <c r="H725" s="89"/>
      <c r="I725" s="90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  <c r="AD725" s="89"/>
      <c r="AE725" s="89"/>
      <c r="AF725" s="89"/>
      <c r="AG725" s="89"/>
      <c r="AH725" s="89"/>
      <c r="AI725" s="89"/>
      <c r="AJ725" s="89"/>
      <c r="AK725" s="89"/>
    </row>
    <row r="726" customFormat="false" ht="15.75" hidden="false" customHeight="true" outlineLevel="0" collapsed="false">
      <c r="A726" s="76"/>
      <c r="B726" s="76"/>
      <c r="C726" s="88"/>
      <c r="D726" s="89"/>
      <c r="E726" s="89"/>
      <c r="F726" s="89"/>
      <c r="G726" s="89"/>
      <c r="H726" s="89"/>
      <c r="I726" s="90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</row>
    <row r="727" customFormat="false" ht="15.75" hidden="false" customHeight="true" outlineLevel="0" collapsed="false">
      <c r="A727" s="76"/>
      <c r="B727" s="76"/>
      <c r="C727" s="88"/>
      <c r="D727" s="89"/>
      <c r="E727" s="89"/>
      <c r="F727" s="89"/>
      <c r="G727" s="89"/>
      <c r="H727" s="89"/>
      <c r="I727" s="90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</row>
    <row r="728" customFormat="false" ht="15.75" hidden="false" customHeight="true" outlineLevel="0" collapsed="false">
      <c r="A728" s="76"/>
      <c r="B728" s="76"/>
      <c r="C728" s="88"/>
      <c r="D728" s="89"/>
      <c r="E728" s="89"/>
      <c r="F728" s="89"/>
      <c r="G728" s="89"/>
      <c r="H728" s="89"/>
      <c r="I728" s="90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  <c r="AE728" s="89"/>
      <c r="AF728" s="89"/>
      <c r="AG728" s="89"/>
      <c r="AH728" s="89"/>
      <c r="AI728" s="89"/>
      <c r="AJ728" s="89"/>
      <c r="AK728" s="89"/>
    </row>
    <row r="729" customFormat="false" ht="15.75" hidden="false" customHeight="true" outlineLevel="0" collapsed="false">
      <c r="A729" s="76"/>
      <c r="B729" s="76"/>
      <c r="C729" s="88"/>
      <c r="D729" s="89"/>
      <c r="E729" s="89"/>
      <c r="F729" s="89"/>
      <c r="G729" s="89"/>
      <c r="H729" s="89"/>
      <c r="I729" s="90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  <c r="AE729" s="89"/>
      <c r="AF729" s="89"/>
      <c r="AG729" s="89"/>
      <c r="AH729" s="89"/>
      <c r="AI729" s="89"/>
      <c r="AJ729" s="89"/>
      <c r="AK729" s="89"/>
    </row>
    <row r="730" customFormat="false" ht="15.75" hidden="false" customHeight="true" outlineLevel="0" collapsed="false">
      <c r="A730" s="76"/>
      <c r="B730" s="76"/>
      <c r="C730" s="88"/>
      <c r="D730" s="89"/>
      <c r="E730" s="89"/>
      <c r="F730" s="89"/>
      <c r="G730" s="89"/>
      <c r="H730" s="89"/>
      <c r="I730" s="90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  <c r="AE730" s="89"/>
      <c r="AF730" s="89"/>
      <c r="AG730" s="89"/>
      <c r="AH730" s="89"/>
      <c r="AI730" s="89"/>
      <c r="AJ730" s="89"/>
      <c r="AK730" s="89"/>
    </row>
    <row r="731" customFormat="false" ht="15.75" hidden="false" customHeight="true" outlineLevel="0" collapsed="false">
      <c r="A731" s="76"/>
      <c r="B731" s="76"/>
      <c r="C731" s="88"/>
      <c r="D731" s="89"/>
      <c r="E731" s="89"/>
      <c r="F731" s="89"/>
      <c r="G731" s="89"/>
      <c r="H731" s="89"/>
      <c r="I731" s="90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89"/>
      <c r="AE731" s="89"/>
      <c r="AF731" s="89"/>
      <c r="AG731" s="89"/>
      <c r="AH731" s="89"/>
      <c r="AI731" s="89"/>
      <c r="AJ731" s="89"/>
      <c r="AK731" s="89"/>
    </row>
    <row r="732" customFormat="false" ht="15.75" hidden="false" customHeight="true" outlineLevel="0" collapsed="false">
      <c r="A732" s="76"/>
      <c r="B732" s="76"/>
      <c r="C732" s="88"/>
      <c r="D732" s="89"/>
      <c r="E732" s="89"/>
      <c r="F732" s="89"/>
      <c r="G732" s="89"/>
      <c r="H732" s="89"/>
      <c r="I732" s="90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  <c r="AD732" s="89"/>
      <c r="AE732" s="89"/>
      <c r="AF732" s="89"/>
      <c r="AG732" s="89"/>
      <c r="AH732" s="89"/>
      <c r="AI732" s="89"/>
      <c r="AJ732" s="89"/>
      <c r="AK732" s="89"/>
    </row>
    <row r="733" customFormat="false" ht="15.75" hidden="false" customHeight="true" outlineLevel="0" collapsed="false">
      <c r="A733" s="76"/>
      <c r="B733" s="76"/>
      <c r="C733" s="88"/>
      <c r="D733" s="89"/>
      <c r="E733" s="89"/>
      <c r="F733" s="89"/>
      <c r="G733" s="89"/>
      <c r="H733" s="89"/>
      <c r="I733" s="90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  <c r="AE733" s="89"/>
      <c r="AF733" s="89"/>
      <c r="AG733" s="89"/>
      <c r="AH733" s="89"/>
      <c r="AI733" s="89"/>
      <c r="AJ733" s="89"/>
      <c r="AK733" s="89"/>
    </row>
    <row r="734" customFormat="false" ht="15.75" hidden="false" customHeight="true" outlineLevel="0" collapsed="false">
      <c r="A734" s="76"/>
      <c r="B734" s="76"/>
      <c r="C734" s="88"/>
      <c r="D734" s="89"/>
      <c r="E734" s="89"/>
      <c r="F734" s="89"/>
      <c r="G734" s="89"/>
      <c r="H734" s="89"/>
      <c r="I734" s="90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  <c r="AD734" s="89"/>
      <c r="AE734" s="89"/>
      <c r="AF734" s="89"/>
      <c r="AG734" s="89"/>
      <c r="AH734" s="89"/>
      <c r="AI734" s="89"/>
      <c r="AJ734" s="89"/>
      <c r="AK734" s="89"/>
    </row>
    <row r="735" customFormat="false" ht="15.75" hidden="false" customHeight="true" outlineLevel="0" collapsed="false">
      <c r="A735" s="76"/>
      <c r="B735" s="76"/>
      <c r="C735" s="88"/>
      <c r="D735" s="89"/>
      <c r="E735" s="89"/>
      <c r="F735" s="89"/>
      <c r="G735" s="89"/>
      <c r="H735" s="89"/>
      <c r="I735" s="90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  <c r="AE735" s="89"/>
      <c r="AF735" s="89"/>
      <c r="AG735" s="89"/>
      <c r="AH735" s="89"/>
      <c r="AI735" s="89"/>
      <c r="AJ735" s="89"/>
      <c r="AK735" s="89"/>
    </row>
    <row r="736" customFormat="false" ht="15.75" hidden="false" customHeight="true" outlineLevel="0" collapsed="false">
      <c r="A736" s="76"/>
      <c r="B736" s="76"/>
      <c r="C736" s="88"/>
      <c r="D736" s="89"/>
      <c r="E736" s="89"/>
      <c r="F736" s="89"/>
      <c r="G736" s="89"/>
      <c r="H736" s="89"/>
      <c r="I736" s="90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  <c r="AD736" s="89"/>
      <c r="AE736" s="89"/>
      <c r="AF736" s="89"/>
      <c r="AG736" s="89"/>
      <c r="AH736" s="89"/>
      <c r="AI736" s="89"/>
      <c r="AJ736" s="89"/>
      <c r="AK736" s="89"/>
    </row>
    <row r="737" customFormat="false" ht="15.75" hidden="false" customHeight="true" outlineLevel="0" collapsed="false">
      <c r="A737" s="76"/>
      <c r="B737" s="76"/>
      <c r="C737" s="88"/>
      <c r="D737" s="89"/>
      <c r="E737" s="89"/>
      <c r="F737" s="89"/>
      <c r="G737" s="89"/>
      <c r="H737" s="89"/>
      <c r="I737" s="90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  <c r="AE737" s="89"/>
      <c r="AF737" s="89"/>
      <c r="AG737" s="89"/>
      <c r="AH737" s="89"/>
      <c r="AI737" s="89"/>
      <c r="AJ737" s="89"/>
      <c r="AK737" s="89"/>
    </row>
    <row r="738" customFormat="false" ht="15.75" hidden="false" customHeight="true" outlineLevel="0" collapsed="false">
      <c r="A738" s="76"/>
      <c r="B738" s="76"/>
      <c r="C738" s="88"/>
      <c r="D738" s="89"/>
      <c r="E738" s="89"/>
      <c r="F738" s="89"/>
      <c r="G738" s="89"/>
      <c r="H738" s="89"/>
      <c r="I738" s="90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  <c r="AD738" s="89"/>
      <c r="AE738" s="89"/>
      <c r="AF738" s="89"/>
      <c r="AG738" s="89"/>
      <c r="AH738" s="89"/>
      <c r="AI738" s="89"/>
      <c r="AJ738" s="89"/>
      <c r="AK738" s="89"/>
    </row>
    <row r="739" customFormat="false" ht="15.75" hidden="false" customHeight="true" outlineLevel="0" collapsed="false">
      <c r="A739" s="76"/>
      <c r="B739" s="76"/>
      <c r="C739" s="88"/>
      <c r="D739" s="89"/>
      <c r="E739" s="89"/>
      <c r="F739" s="89"/>
      <c r="G739" s="89"/>
      <c r="H739" s="89"/>
      <c r="I739" s="90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  <c r="AE739" s="89"/>
      <c r="AF739" s="89"/>
      <c r="AG739" s="89"/>
      <c r="AH739" s="89"/>
      <c r="AI739" s="89"/>
      <c r="AJ739" s="89"/>
      <c r="AK739" s="89"/>
    </row>
    <row r="740" customFormat="false" ht="15.75" hidden="false" customHeight="true" outlineLevel="0" collapsed="false">
      <c r="A740" s="76"/>
      <c r="B740" s="76"/>
      <c r="C740" s="88"/>
      <c r="D740" s="89"/>
      <c r="E740" s="89"/>
      <c r="F740" s="89"/>
      <c r="G740" s="89"/>
      <c r="H740" s="89"/>
      <c r="I740" s="90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  <c r="AD740" s="89"/>
      <c r="AE740" s="89"/>
      <c r="AF740" s="89"/>
      <c r="AG740" s="89"/>
      <c r="AH740" s="89"/>
      <c r="AI740" s="89"/>
      <c r="AJ740" s="89"/>
      <c r="AK740" s="89"/>
    </row>
    <row r="741" customFormat="false" ht="15.75" hidden="false" customHeight="true" outlineLevel="0" collapsed="false">
      <c r="A741" s="76"/>
      <c r="B741" s="76"/>
      <c r="C741" s="88"/>
      <c r="D741" s="89"/>
      <c r="E741" s="89"/>
      <c r="F741" s="89"/>
      <c r="G741" s="89"/>
      <c r="H741" s="89"/>
      <c r="I741" s="90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</row>
    <row r="742" customFormat="false" ht="15.75" hidden="false" customHeight="true" outlineLevel="0" collapsed="false">
      <c r="A742" s="76"/>
      <c r="B742" s="76"/>
      <c r="C742" s="88"/>
      <c r="D742" s="89"/>
      <c r="E742" s="89"/>
      <c r="F742" s="89"/>
      <c r="G742" s="89"/>
      <c r="H742" s="89"/>
      <c r="I742" s="90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  <c r="AD742" s="89"/>
      <c r="AE742" s="89"/>
      <c r="AF742" s="89"/>
      <c r="AG742" s="89"/>
      <c r="AH742" s="89"/>
      <c r="AI742" s="89"/>
      <c r="AJ742" s="89"/>
      <c r="AK742" s="89"/>
    </row>
    <row r="743" customFormat="false" ht="15.75" hidden="false" customHeight="true" outlineLevel="0" collapsed="false">
      <c r="A743" s="76"/>
      <c r="B743" s="76"/>
      <c r="C743" s="88"/>
      <c r="D743" s="89"/>
      <c r="E743" s="89"/>
      <c r="F743" s="89"/>
      <c r="G743" s="89"/>
      <c r="H743" s="89"/>
      <c r="I743" s="90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89"/>
      <c r="AE743" s="89"/>
      <c r="AF743" s="89"/>
      <c r="AG743" s="89"/>
      <c r="AH743" s="89"/>
      <c r="AI743" s="89"/>
      <c r="AJ743" s="89"/>
      <c r="AK743" s="89"/>
    </row>
    <row r="744" customFormat="false" ht="15.75" hidden="false" customHeight="true" outlineLevel="0" collapsed="false">
      <c r="A744" s="76"/>
      <c r="B744" s="76"/>
      <c r="C744" s="88"/>
      <c r="D744" s="89"/>
      <c r="E744" s="89"/>
      <c r="F744" s="89"/>
      <c r="G744" s="89"/>
      <c r="H744" s="89"/>
      <c r="I744" s="90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  <c r="AD744" s="89"/>
      <c r="AE744" s="89"/>
      <c r="AF744" s="89"/>
      <c r="AG744" s="89"/>
      <c r="AH744" s="89"/>
      <c r="AI744" s="89"/>
      <c r="AJ744" s="89"/>
      <c r="AK744" s="89"/>
    </row>
    <row r="745" customFormat="false" ht="15.75" hidden="false" customHeight="true" outlineLevel="0" collapsed="false">
      <c r="A745" s="76"/>
      <c r="B745" s="76"/>
      <c r="C745" s="88"/>
      <c r="D745" s="89"/>
      <c r="E745" s="89"/>
      <c r="F745" s="89"/>
      <c r="G745" s="89"/>
      <c r="H745" s="89"/>
      <c r="I745" s="90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  <c r="AE745" s="89"/>
      <c r="AF745" s="89"/>
      <c r="AG745" s="89"/>
      <c r="AH745" s="89"/>
      <c r="AI745" s="89"/>
      <c r="AJ745" s="89"/>
      <c r="AK745" s="89"/>
    </row>
    <row r="746" customFormat="false" ht="15.75" hidden="false" customHeight="true" outlineLevel="0" collapsed="false">
      <c r="A746" s="76"/>
      <c r="B746" s="76"/>
      <c r="C746" s="88"/>
      <c r="D746" s="89"/>
      <c r="E746" s="89"/>
      <c r="F746" s="89"/>
      <c r="G746" s="89"/>
      <c r="H746" s="89"/>
      <c r="I746" s="90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  <c r="AD746" s="89"/>
      <c r="AE746" s="89"/>
      <c r="AF746" s="89"/>
      <c r="AG746" s="89"/>
      <c r="AH746" s="89"/>
      <c r="AI746" s="89"/>
      <c r="AJ746" s="89"/>
      <c r="AK746" s="89"/>
    </row>
    <row r="747" customFormat="false" ht="15.75" hidden="false" customHeight="true" outlineLevel="0" collapsed="false">
      <c r="A747" s="76"/>
      <c r="B747" s="76"/>
      <c r="C747" s="88"/>
      <c r="D747" s="89"/>
      <c r="E747" s="89"/>
      <c r="F747" s="89"/>
      <c r="G747" s="89"/>
      <c r="H747" s="89"/>
      <c r="I747" s="90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  <c r="AE747" s="89"/>
      <c r="AF747" s="89"/>
      <c r="AG747" s="89"/>
      <c r="AH747" s="89"/>
      <c r="AI747" s="89"/>
      <c r="AJ747" s="89"/>
      <c r="AK747" s="89"/>
    </row>
    <row r="748" customFormat="false" ht="15.75" hidden="false" customHeight="true" outlineLevel="0" collapsed="false">
      <c r="A748" s="76"/>
      <c r="B748" s="76"/>
      <c r="C748" s="88"/>
      <c r="D748" s="89"/>
      <c r="E748" s="89"/>
      <c r="F748" s="89"/>
      <c r="G748" s="89"/>
      <c r="H748" s="89"/>
      <c r="I748" s="90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  <c r="AD748" s="89"/>
      <c r="AE748" s="89"/>
      <c r="AF748" s="89"/>
      <c r="AG748" s="89"/>
      <c r="AH748" s="89"/>
      <c r="AI748" s="89"/>
      <c r="AJ748" s="89"/>
      <c r="AK748" s="89"/>
    </row>
    <row r="749" customFormat="false" ht="15.75" hidden="false" customHeight="true" outlineLevel="0" collapsed="false">
      <c r="A749" s="76"/>
      <c r="B749" s="76"/>
      <c r="C749" s="88"/>
      <c r="D749" s="89"/>
      <c r="E749" s="89"/>
      <c r="F749" s="89"/>
      <c r="G749" s="89"/>
      <c r="H749" s="89"/>
      <c r="I749" s="90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  <c r="AE749" s="89"/>
      <c r="AF749" s="89"/>
      <c r="AG749" s="89"/>
      <c r="AH749" s="89"/>
      <c r="AI749" s="89"/>
      <c r="AJ749" s="89"/>
      <c r="AK749" s="89"/>
    </row>
    <row r="750" customFormat="false" ht="15.75" hidden="false" customHeight="true" outlineLevel="0" collapsed="false">
      <c r="A750" s="76"/>
      <c r="B750" s="76"/>
      <c r="C750" s="88"/>
      <c r="D750" s="89"/>
      <c r="E750" s="89"/>
      <c r="F750" s="89"/>
      <c r="G750" s="89"/>
      <c r="H750" s="89"/>
      <c r="I750" s="90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  <c r="AE750" s="89"/>
      <c r="AF750" s="89"/>
      <c r="AG750" s="89"/>
      <c r="AH750" s="89"/>
      <c r="AI750" s="89"/>
      <c r="AJ750" s="89"/>
      <c r="AK750" s="89"/>
    </row>
    <row r="751" customFormat="false" ht="15.75" hidden="false" customHeight="true" outlineLevel="0" collapsed="false">
      <c r="A751" s="76"/>
      <c r="B751" s="76"/>
      <c r="C751" s="88"/>
      <c r="D751" s="89"/>
      <c r="E751" s="89"/>
      <c r="F751" s="89"/>
      <c r="G751" s="89"/>
      <c r="H751" s="89"/>
      <c r="I751" s="90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  <c r="AE751" s="89"/>
      <c r="AF751" s="89"/>
      <c r="AG751" s="89"/>
      <c r="AH751" s="89"/>
      <c r="AI751" s="89"/>
      <c r="AJ751" s="89"/>
      <c r="AK751" s="89"/>
    </row>
    <row r="752" customFormat="false" ht="15.75" hidden="false" customHeight="true" outlineLevel="0" collapsed="false">
      <c r="A752" s="76"/>
      <c r="B752" s="76"/>
      <c r="C752" s="88"/>
      <c r="D752" s="89"/>
      <c r="E752" s="89"/>
      <c r="F752" s="89"/>
      <c r="G752" s="89"/>
      <c r="H752" s="89"/>
      <c r="I752" s="90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  <c r="AE752" s="89"/>
      <c r="AF752" s="89"/>
      <c r="AG752" s="89"/>
      <c r="AH752" s="89"/>
      <c r="AI752" s="89"/>
      <c r="AJ752" s="89"/>
      <c r="AK752" s="89"/>
    </row>
    <row r="753" customFormat="false" ht="15.75" hidden="false" customHeight="true" outlineLevel="0" collapsed="false">
      <c r="A753" s="76"/>
      <c r="B753" s="76"/>
      <c r="C753" s="88"/>
      <c r="D753" s="89"/>
      <c r="E753" s="89"/>
      <c r="F753" s="89"/>
      <c r="G753" s="89"/>
      <c r="H753" s="89"/>
      <c r="I753" s="90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  <c r="AE753" s="89"/>
      <c r="AF753" s="89"/>
      <c r="AG753" s="89"/>
      <c r="AH753" s="89"/>
      <c r="AI753" s="89"/>
      <c r="AJ753" s="89"/>
      <c r="AK753" s="89"/>
    </row>
    <row r="754" customFormat="false" ht="15.75" hidden="false" customHeight="true" outlineLevel="0" collapsed="false">
      <c r="A754" s="76"/>
      <c r="B754" s="76"/>
      <c r="C754" s="88"/>
      <c r="D754" s="89"/>
      <c r="E754" s="89"/>
      <c r="F754" s="89"/>
      <c r="G754" s="89"/>
      <c r="H754" s="89"/>
      <c r="I754" s="90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  <c r="AE754" s="89"/>
      <c r="AF754" s="89"/>
      <c r="AG754" s="89"/>
      <c r="AH754" s="89"/>
      <c r="AI754" s="89"/>
      <c r="AJ754" s="89"/>
      <c r="AK754" s="89"/>
    </row>
    <row r="755" customFormat="false" ht="15.75" hidden="false" customHeight="true" outlineLevel="0" collapsed="false">
      <c r="A755" s="76"/>
      <c r="B755" s="76"/>
      <c r="C755" s="88"/>
      <c r="D755" s="89"/>
      <c r="E755" s="89"/>
      <c r="F755" s="89"/>
      <c r="G755" s="89"/>
      <c r="H755" s="89"/>
      <c r="I755" s="90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  <c r="AE755" s="89"/>
      <c r="AF755" s="89"/>
      <c r="AG755" s="89"/>
      <c r="AH755" s="89"/>
      <c r="AI755" s="89"/>
      <c r="AJ755" s="89"/>
      <c r="AK755" s="89"/>
    </row>
    <row r="756" customFormat="false" ht="15.75" hidden="false" customHeight="true" outlineLevel="0" collapsed="false">
      <c r="A756" s="76"/>
      <c r="B756" s="76"/>
      <c r="C756" s="88"/>
      <c r="D756" s="89"/>
      <c r="E756" s="89"/>
      <c r="F756" s="89"/>
      <c r="G756" s="89"/>
      <c r="H756" s="89"/>
      <c r="I756" s="90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  <c r="AE756" s="89"/>
      <c r="AF756" s="89"/>
      <c r="AG756" s="89"/>
      <c r="AH756" s="89"/>
      <c r="AI756" s="89"/>
      <c r="AJ756" s="89"/>
      <c r="AK756" s="89"/>
    </row>
    <row r="757" customFormat="false" ht="15.75" hidden="false" customHeight="true" outlineLevel="0" collapsed="false">
      <c r="A757" s="76"/>
      <c r="B757" s="76"/>
      <c r="C757" s="88"/>
      <c r="D757" s="89"/>
      <c r="E757" s="89"/>
      <c r="F757" s="89"/>
      <c r="G757" s="89"/>
      <c r="H757" s="89"/>
      <c r="I757" s="90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  <c r="AE757" s="89"/>
      <c r="AF757" s="89"/>
      <c r="AG757" s="89"/>
      <c r="AH757" s="89"/>
      <c r="AI757" s="89"/>
      <c r="AJ757" s="89"/>
      <c r="AK757" s="89"/>
    </row>
    <row r="758" customFormat="false" ht="15.75" hidden="false" customHeight="true" outlineLevel="0" collapsed="false">
      <c r="A758" s="76"/>
      <c r="B758" s="76"/>
      <c r="C758" s="88"/>
      <c r="D758" s="89"/>
      <c r="E758" s="89"/>
      <c r="F758" s="89"/>
      <c r="G758" s="89"/>
      <c r="H758" s="89"/>
      <c r="I758" s="90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  <c r="AD758" s="89"/>
      <c r="AE758" s="89"/>
      <c r="AF758" s="89"/>
      <c r="AG758" s="89"/>
      <c r="AH758" s="89"/>
      <c r="AI758" s="89"/>
      <c r="AJ758" s="89"/>
      <c r="AK758" s="89"/>
    </row>
    <row r="759" customFormat="false" ht="15.75" hidden="false" customHeight="true" outlineLevel="0" collapsed="false">
      <c r="A759" s="76"/>
      <c r="B759" s="76"/>
      <c r="C759" s="88"/>
      <c r="D759" s="89"/>
      <c r="E759" s="89"/>
      <c r="F759" s="89"/>
      <c r="G759" s="89"/>
      <c r="H759" s="89"/>
      <c r="I759" s="90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  <c r="AE759" s="89"/>
      <c r="AF759" s="89"/>
      <c r="AG759" s="89"/>
      <c r="AH759" s="89"/>
      <c r="AI759" s="89"/>
      <c r="AJ759" s="89"/>
      <c r="AK759" s="89"/>
    </row>
    <row r="760" customFormat="false" ht="15.75" hidden="false" customHeight="true" outlineLevel="0" collapsed="false">
      <c r="A760" s="76"/>
      <c r="B760" s="76"/>
      <c r="C760" s="88"/>
      <c r="D760" s="89"/>
      <c r="E760" s="89"/>
      <c r="F760" s="89"/>
      <c r="G760" s="89"/>
      <c r="H760" s="89"/>
      <c r="I760" s="90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  <c r="AD760" s="89"/>
      <c r="AE760" s="89"/>
      <c r="AF760" s="89"/>
      <c r="AG760" s="89"/>
      <c r="AH760" s="89"/>
      <c r="AI760" s="89"/>
      <c r="AJ760" s="89"/>
      <c r="AK760" s="89"/>
    </row>
    <row r="761" customFormat="false" ht="15.75" hidden="false" customHeight="true" outlineLevel="0" collapsed="false">
      <c r="A761" s="76"/>
      <c r="B761" s="76"/>
      <c r="C761" s="88"/>
      <c r="D761" s="89"/>
      <c r="E761" s="89"/>
      <c r="F761" s="89"/>
      <c r="G761" s="89"/>
      <c r="H761" s="89"/>
      <c r="I761" s="90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89"/>
      <c r="AE761" s="89"/>
      <c r="AF761" s="89"/>
      <c r="AG761" s="89"/>
      <c r="AH761" s="89"/>
      <c r="AI761" s="89"/>
      <c r="AJ761" s="89"/>
      <c r="AK761" s="89"/>
    </row>
    <row r="762" customFormat="false" ht="15.75" hidden="false" customHeight="true" outlineLevel="0" collapsed="false">
      <c r="A762" s="76"/>
      <c r="B762" s="76"/>
      <c r="C762" s="88"/>
      <c r="D762" s="89"/>
      <c r="E762" s="89"/>
      <c r="F762" s="89"/>
      <c r="G762" s="89"/>
      <c r="H762" s="89"/>
      <c r="I762" s="90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  <c r="AD762" s="89"/>
      <c r="AE762" s="89"/>
      <c r="AF762" s="89"/>
      <c r="AG762" s="89"/>
      <c r="AH762" s="89"/>
      <c r="AI762" s="89"/>
      <c r="AJ762" s="89"/>
      <c r="AK762" s="89"/>
    </row>
    <row r="763" customFormat="false" ht="15.75" hidden="false" customHeight="true" outlineLevel="0" collapsed="false">
      <c r="A763" s="76"/>
      <c r="B763" s="76"/>
      <c r="C763" s="88"/>
      <c r="D763" s="89"/>
      <c r="E763" s="89"/>
      <c r="F763" s="89"/>
      <c r="G763" s="89"/>
      <c r="H763" s="89"/>
      <c r="I763" s="90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  <c r="AE763" s="89"/>
      <c r="AF763" s="89"/>
      <c r="AG763" s="89"/>
      <c r="AH763" s="89"/>
      <c r="AI763" s="89"/>
      <c r="AJ763" s="89"/>
      <c r="AK763" s="89"/>
    </row>
    <row r="764" customFormat="false" ht="15.75" hidden="false" customHeight="true" outlineLevel="0" collapsed="false">
      <c r="A764" s="76"/>
      <c r="B764" s="76"/>
      <c r="C764" s="88"/>
      <c r="D764" s="89"/>
      <c r="E764" s="89"/>
      <c r="F764" s="89"/>
      <c r="G764" s="89"/>
      <c r="H764" s="89"/>
      <c r="I764" s="90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  <c r="AD764" s="89"/>
      <c r="AE764" s="89"/>
      <c r="AF764" s="89"/>
      <c r="AG764" s="89"/>
      <c r="AH764" s="89"/>
      <c r="AI764" s="89"/>
      <c r="AJ764" s="89"/>
      <c r="AK764" s="89"/>
    </row>
    <row r="765" customFormat="false" ht="15.75" hidden="false" customHeight="true" outlineLevel="0" collapsed="false">
      <c r="A765" s="76"/>
      <c r="B765" s="76"/>
      <c r="C765" s="88"/>
      <c r="D765" s="89"/>
      <c r="E765" s="89"/>
      <c r="F765" s="89"/>
      <c r="G765" s="89"/>
      <c r="H765" s="89"/>
      <c r="I765" s="90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  <c r="AE765" s="89"/>
      <c r="AF765" s="89"/>
      <c r="AG765" s="89"/>
      <c r="AH765" s="89"/>
      <c r="AI765" s="89"/>
      <c r="AJ765" s="89"/>
      <c r="AK765" s="89"/>
    </row>
    <row r="766" customFormat="false" ht="15.75" hidden="false" customHeight="true" outlineLevel="0" collapsed="false">
      <c r="A766" s="76"/>
      <c r="B766" s="76"/>
      <c r="C766" s="88"/>
      <c r="D766" s="89"/>
      <c r="E766" s="89"/>
      <c r="F766" s="89"/>
      <c r="G766" s="89"/>
      <c r="H766" s="89"/>
      <c r="I766" s="90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  <c r="AD766" s="89"/>
      <c r="AE766" s="89"/>
      <c r="AF766" s="89"/>
      <c r="AG766" s="89"/>
      <c r="AH766" s="89"/>
      <c r="AI766" s="89"/>
      <c r="AJ766" s="89"/>
      <c r="AK766" s="89"/>
    </row>
    <row r="767" customFormat="false" ht="15.75" hidden="false" customHeight="true" outlineLevel="0" collapsed="false">
      <c r="A767" s="76"/>
      <c r="B767" s="76"/>
      <c r="C767" s="88"/>
      <c r="D767" s="89"/>
      <c r="E767" s="89"/>
      <c r="F767" s="89"/>
      <c r="G767" s="89"/>
      <c r="H767" s="89"/>
      <c r="I767" s="90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  <c r="AE767" s="89"/>
      <c r="AF767" s="89"/>
      <c r="AG767" s="89"/>
      <c r="AH767" s="89"/>
      <c r="AI767" s="89"/>
      <c r="AJ767" s="89"/>
      <c r="AK767" s="89"/>
    </row>
    <row r="768" customFormat="false" ht="15.75" hidden="false" customHeight="true" outlineLevel="0" collapsed="false">
      <c r="A768" s="76"/>
      <c r="B768" s="76"/>
      <c r="C768" s="88"/>
      <c r="D768" s="89"/>
      <c r="E768" s="89"/>
      <c r="F768" s="89"/>
      <c r="G768" s="89"/>
      <c r="H768" s="89"/>
      <c r="I768" s="90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  <c r="AD768" s="89"/>
      <c r="AE768" s="89"/>
      <c r="AF768" s="89"/>
      <c r="AG768" s="89"/>
      <c r="AH768" s="89"/>
      <c r="AI768" s="89"/>
      <c r="AJ768" s="89"/>
      <c r="AK768" s="89"/>
    </row>
    <row r="769" customFormat="false" ht="15.75" hidden="false" customHeight="true" outlineLevel="0" collapsed="false">
      <c r="A769" s="76"/>
      <c r="B769" s="76"/>
      <c r="C769" s="88"/>
      <c r="D769" s="89"/>
      <c r="E769" s="89"/>
      <c r="F769" s="89"/>
      <c r="G769" s="89"/>
      <c r="H769" s="89"/>
      <c r="I769" s="90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  <c r="AE769" s="89"/>
      <c r="AF769" s="89"/>
      <c r="AG769" s="89"/>
      <c r="AH769" s="89"/>
      <c r="AI769" s="89"/>
      <c r="AJ769" s="89"/>
      <c r="AK769" s="89"/>
    </row>
    <row r="770" customFormat="false" ht="15.75" hidden="false" customHeight="true" outlineLevel="0" collapsed="false">
      <c r="A770" s="76"/>
      <c r="B770" s="76"/>
      <c r="C770" s="88"/>
      <c r="D770" s="89"/>
      <c r="E770" s="89"/>
      <c r="F770" s="89"/>
      <c r="G770" s="89"/>
      <c r="H770" s="89"/>
      <c r="I770" s="90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  <c r="AD770" s="89"/>
      <c r="AE770" s="89"/>
      <c r="AF770" s="89"/>
      <c r="AG770" s="89"/>
      <c r="AH770" s="89"/>
      <c r="AI770" s="89"/>
      <c r="AJ770" s="89"/>
      <c r="AK770" s="89"/>
    </row>
    <row r="771" customFormat="false" ht="15.75" hidden="false" customHeight="true" outlineLevel="0" collapsed="false">
      <c r="A771" s="76"/>
      <c r="B771" s="76"/>
      <c r="C771" s="88"/>
      <c r="D771" s="89"/>
      <c r="E771" s="89"/>
      <c r="F771" s="89"/>
      <c r="G771" s="89"/>
      <c r="H771" s="89"/>
      <c r="I771" s="90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  <c r="AE771" s="89"/>
      <c r="AF771" s="89"/>
      <c r="AG771" s="89"/>
      <c r="AH771" s="89"/>
      <c r="AI771" s="89"/>
      <c r="AJ771" s="89"/>
      <c r="AK771" s="89"/>
    </row>
    <row r="772" customFormat="false" ht="15.75" hidden="false" customHeight="true" outlineLevel="0" collapsed="false">
      <c r="A772" s="76"/>
      <c r="B772" s="76"/>
      <c r="C772" s="88"/>
      <c r="D772" s="89"/>
      <c r="E772" s="89"/>
      <c r="F772" s="89"/>
      <c r="G772" s="89"/>
      <c r="H772" s="89"/>
      <c r="I772" s="90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</row>
    <row r="773" customFormat="false" ht="15.75" hidden="false" customHeight="true" outlineLevel="0" collapsed="false">
      <c r="A773" s="76"/>
      <c r="B773" s="76"/>
      <c r="C773" s="88"/>
      <c r="D773" s="89"/>
      <c r="E773" s="89"/>
      <c r="F773" s="89"/>
      <c r="G773" s="89"/>
      <c r="H773" s="89"/>
      <c r="I773" s="90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  <c r="AE773" s="89"/>
      <c r="AF773" s="89"/>
      <c r="AG773" s="89"/>
      <c r="AH773" s="89"/>
      <c r="AI773" s="89"/>
      <c r="AJ773" s="89"/>
      <c r="AK773" s="89"/>
    </row>
    <row r="774" customFormat="false" ht="15.75" hidden="false" customHeight="true" outlineLevel="0" collapsed="false">
      <c r="A774" s="76"/>
      <c r="B774" s="76"/>
      <c r="C774" s="88"/>
      <c r="D774" s="89"/>
      <c r="E774" s="89"/>
      <c r="F774" s="89"/>
      <c r="G774" s="89"/>
      <c r="H774" s="89"/>
      <c r="I774" s="90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</row>
    <row r="775" customFormat="false" ht="15.75" hidden="false" customHeight="true" outlineLevel="0" collapsed="false">
      <c r="A775" s="76"/>
      <c r="B775" s="76"/>
      <c r="C775" s="88"/>
      <c r="D775" s="89"/>
      <c r="E775" s="89"/>
      <c r="F775" s="89"/>
      <c r="G775" s="89"/>
      <c r="H775" s="89"/>
      <c r="I775" s="90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</row>
    <row r="776" customFormat="false" ht="15.75" hidden="false" customHeight="true" outlineLevel="0" collapsed="false">
      <c r="A776" s="76"/>
      <c r="B776" s="76"/>
      <c r="C776" s="88"/>
      <c r="D776" s="89"/>
      <c r="E776" s="89"/>
      <c r="F776" s="89"/>
      <c r="G776" s="89"/>
      <c r="H776" s="89"/>
      <c r="I776" s="90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</row>
    <row r="777" customFormat="false" ht="15.75" hidden="false" customHeight="true" outlineLevel="0" collapsed="false">
      <c r="A777" s="76"/>
      <c r="B777" s="76"/>
      <c r="C777" s="88"/>
      <c r="D777" s="89"/>
      <c r="E777" s="89"/>
      <c r="F777" s="89"/>
      <c r="G777" s="89"/>
      <c r="H777" s="89"/>
      <c r="I777" s="90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</row>
    <row r="778" customFormat="false" ht="15.75" hidden="false" customHeight="true" outlineLevel="0" collapsed="false">
      <c r="A778" s="76"/>
      <c r="B778" s="76"/>
      <c r="C778" s="88"/>
      <c r="D778" s="89"/>
      <c r="E778" s="89"/>
      <c r="F778" s="89"/>
      <c r="G778" s="89"/>
      <c r="H778" s="89"/>
      <c r="I778" s="90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</row>
    <row r="779" customFormat="false" ht="15.75" hidden="false" customHeight="true" outlineLevel="0" collapsed="false">
      <c r="A779" s="76"/>
      <c r="B779" s="76"/>
      <c r="C779" s="88"/>
      <c r="D779" s="89"/>
      <c r="E779" s="89"/>
      <c r="F779" s="89"/>
      <c r="G779" s="89"/>
      <c r="H779" s="89"/>
      <c r="I779" s="90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</row>
    <row r="780" customFormat="false" ht="15.75" hidden="false" customHeight="true" outlineLevel="0" collapsed="false">
      <c r="A780" s="76"/>
      <c r="B780" s="76"/>
      <c r="C780" s="88"/>
      <c r="D780" s="89"/>
      <c r="E780" s="89"/>
      <c r="F780" s="89"/>
      <c r="G780" s="89"/>
      <c r="H780" s="89"/>
      <c r="I780" s="90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</row>
    <row r="781" customFormat="false" ht="15.75" hidden="false" customHeight="true" outlineLevel="0" collapsed="false">
      <c r="A781" s="76"/>
      <c r="B781" s="76"/>
      <c r="C781" s="88"/>
      <c r="D781" s="89"/>
      <c r="E781" s="89"/>
      <c r="F781" s="89"/>
      <c r="G781" s="89"/>
      <c r="H781" s="89"/>
      <c r="I781" s="90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</row>
    <row r="782" customFormat="false" ht="15.75" hidden="false" customHeight="true" outlineLevel="0" collapsed="false">
      <c r="A782" s="76"/>
      <c r="B782" s="76"/>
      <c r="C782" s="88"/>
      <c r="D782" s="89"/>
      <c r="E782" s="89"/>
      <c r="F782" s="89"/>
      <c r="G782" s="89"/>
      <c r="H782" s="89"/>
      <c r="I782" s="90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</row>
    <row r="783" customFormat="false" ht="15.75" hidden="false" customHeight="true" outlineLevel="0" collapsed="false">
      <c r="A783" s="76"/>
      <c r="B783" s="76"/>
      <c r="C783" s="88"/>
      <c r="D783" s="89"/>
      <c r="E783" s="89"/>
      <c r="F783" s="89"/>
      <c r="G783" s="89"/>
      <c r="H783" s="89"/>
      <c r="I783" s="90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  <c r="AD783" s="89"/>
      <c r="AE783" s="89"/>
      <c r="AF783" s="89"/>
      <c r="AG783" s="89"/>
      <c r="AH783" s="89"/>
      <c r="AI783" s="89"/>
      <c r="AJ783" s="89"/>
      <c r="AK783" s="89"/>
    </row>
    <row r="784" customFormat="false" ht="15.75" hidden="false" customHeight="true" outlineLevel="0" collapsed="false">
      <c r="A784" s="76"/>
      <c r="B784" s="76"/>
      <c r="C784" s="88"/>
      <c r="D784" s="89"/>
      <c r="E784" s="89"/>
      <c r="F784" s="89"/>
      <c r="G784" s="89"/>
      <c r="H784" s="89"/>
      <c r="I784" s="90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  <c r="AD784" s="89"/>
      <c r="AE784" s="89"/>
      <c r="AF784" s="89"/>
      <c r="AG784" s="89"/>
      <c r="AH784" s="89"/>
      <c r="AI784" s="89"/>
      <c r="AJ784" s="89"/>
      <c r="AK784" s="89"/>
    </row>
    <row r="785" customFormat="false" ht="15.75" hidden="false" customHeight="true" outlineLevel="0" collapsed="false">
      <c r="A785" s="76"/>
      <c r="B785" s="76"/>
      <c r="C785" s="88"/>
      <c r="D785" s="89"/>
      <c r="E785" s="89"/>
      <c r="F785" s="89"/>
      <c r="G785" s="89"/>
      <c r="H785" s="89"/>
      <c r="I785" s="90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  <c r="AD785" s="89"/>
      <c r="AE785" s="89"/>
      <c r="AF785" s="89"/>
      <c r="AG785" s="89"/>
      <c r="AH785" s="89"/>
      <c r="AI785" s="89"/>
      <c r="AJ785" s="89"/>
      <c r="AK785" s="89"/>
    </row>
    <row r="786" customFormat="false" ht="15.75" hidden="false" customHeight="true" outlineLevel="0" collapsed="false">
      <c r="A786" s="76"/>
      <c r="B786" s="76"/>
      <c r="C786" s="88"/>
      <c r="D786" s="89"/>
      <c r="E786" s="89"/>
      <c r="F786" s="89"/>
      <c r="G786" s="89"/>
      <c r="H786" s="89"/>
      <c r="I786" s="90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  <c r="AD786" s="89"/>
      <c r="AE786" s="89"/>
      <c r="AF786" s="89"/>
      <c r="AG786" s="89"/>
      <c r="AH786" s="89"/>
      <c r="AI786" s="89"/>
      <c r="AJ786" s="89"/>
      <c r="AK786" s="89"/>
    </row>
    <row r="787" customFormat="false" ht="15.75" hidden="false" customHeight="true" outlineLevel="0" collapsed="false">
      <c r="A787" s="76"/>
      <c r="B787" s="76"/>
      <c r="C787" s="88"/>
      <c r="D787" s="89"/>
      <c r="E787" s="89"/>
      <c r="F787" s="89"/>
      <c r="G787" s="89"/>
      <c r="H787" s="89"/>
      <c r="I787" s="90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  <c r="AE787" s="89"/>
      <c r="AF787" s="89"/>
      <c r="AG787" s="89"/>
      <c r="AH787" s="89"/>
      <c r="AI787" s="89"/>
      <c r="AJ787" s="89"/>
      <c r="AK787" s="89"/>
    </row>
    <row r="788" customFormat="false" ht="15.75" hidden="false" customHeight="true" outlineLevel="0" collapsed="false">
      <c r="A788" s="76"/>
      <c r="B788" s="76"/>
      <c r="C788" s="88"/>
      <c r="D788" s="89"/>
      <c r="E788" s="89"/>
      <c r="F788" s="89"/>
      <c r="G788" s="89"/>
      <c r="H788" s="89"/>
      <c r="I788" s="90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  <c r="AE788" s="89"/>
      <c r="AF788" s="89"/>
      <c r="AG788" s="89"/>
      <c r="AH788" s="89"/>
      <c r="AI788" s="89"/>
      <c r="AJ788" s="89"/>
      <c r="AK788" s="89"/>
    </row>
    <row r="789" customFormat="false" ht="15.75" hidden="false" customHeight="true" outlineLevel="0" collapsed="false">
      <c r="A789" s="76"/>
      <c r="B789" s="76"/>
      <c r="C789" s="88"/>
      <c r="D789" s="89"/>
      <c r="E789" s="89"/>
      <c r="F789" s="89"/>
      <c r="G789" s="89"/>
      <c r="H789" s="89"/>
      <c r="I789" s="90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  <c r="AD789" s="89"/>
      <c r="AE789" s="89"/>
      <c r="AF789" s="89"/>
      <c r="AG789" s="89"/>
      <c r="AH789" s="89"/>
      <c r="AI789" s="89"/>
      <c r="AJ789" s="89"/>
      <c r="AK789" s="89"/>
    </row>
    <row r="790" customFormat="false" ht="15.75" hidden="false" customHeight="true" outlineLevel="0" collapsed="false">
      <c r="A790" s="76"/>
      <c r="B790" s="76"/>
      <c r="C790" s="88"/>
      <c r="D790" s="89"/>
      <c r="E790" s="89"/>
      <c r="F790" s="89"/>
      <c r="G790" s="89"/>
      <c r="H790" s="89"/>
      <c r="I790" s="90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  <c r="AD790" s="89"/>
      <c r="AE790" s="89"/>
      <c r="AF790" s="89"/>
      <c r="AG790" s="89"/>
      <c r="AH790" s="89"/>
      <c r="AI790" s="89"/>
      <c r="AJ790" s="89"/>
      <c r="AK790" s="89"/>
    </row>
    <row r="791" customFormat="false" ht="15.75" hidden="false" customHeight="true" outlineLevel="0" collapsed="false">
      <c r="A791" s="76"/>
      <c r="B791" s="76"/>
      <c r="C791" s="88"/>
      <c r="D791" s="89"/>
      <c r="E791" s="89"/>
      <c r="F791" s="89"/>
      <c r="G791" s="89"/>
      <c r="H791" s="89"/>
      <c r="I791" s="90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  <c r="AE791" s="89"/>
      <c r="AF791" s="89"/>
      <c r="AG791" s="89"/>
      <c r="AH791" s="89"/>
      <c r="AI791" s="89"/>
      <c r="AJ791" s="89"/>
      <c r="AK791" s="89"/>
    </row>
    <row r="792" customFormat="false" ht="15.75" hidden="false" customHeight="true" outlineLevel="0" collapsed="false">
      <c r="A792" s="76"/>
      <c r="B792" s="76"/>
      <c r="C792" s="88"/>
      <c r="D792" s="89"/>
      <c r="E792" s="89"/>
      <c r="F792" s="89"/>
      <c r="G792" s="89"/>
      <c r="H792" s="89"/>
      <c r="I792" s="90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  <c r="AE792" s="89"/>
      <c r="AF792" s="89"/>
      <c r="AG792" s="89"/>
      <c r="AH792" s="89"/>
      <c r="AI792" s="89"/>
      <c r="AJ792" s="89"/>
      <c r="AK792" s="89"/>
    </row>
    <row r="793" customFormat="false" ht="15.75" hidden="false" customHeight="true" outlineLevel="0" collapsed="false">
      <c r="A793" s="76"/>
      <c r="B793" s="76"/>
      <c r="C793" s="88"/>
      <c r="D793" s="89"/>
      <c r="E793" s="89"/>
      <c r="F793" s="89"/>
      <c r="G793" s="89"/>
      <c r="H793" s="89"/>
      <c r="I793" s="90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  <c r="AE793" s="89"/>
      <c r="AF793" s="89"/>
      <c r="AG793" s="89"/>
      <c r="AH793" s="89"/>
      <c r="AI793" s="89"/>
      <c r="AJ793" s="89"/>
      <c r="AK793" s="89"/>
    </row>
    <row r="794" customFormat="false" ht="15.75" hidden="false" customHeight="true" outlineLevel="0" collapsed="false">
      <c r="A794" s="76"/>
      <c r="B794" s="76"/>
      <c r="C794" s="88"/>
      <c r="D794" s="89"/>
      <c r="E794" s="89"/>
      <c r="F794" s="89"/>
      <c r="G794" s="89"/>
      <c r="H794" s="89"/>
      <c r="I794" s="90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  <c r="AD794" s="89"/>
      <c r="AE794" s="89"/>
      <c r="AF794" s="89"/>
      <c r="AG794" s="89"/>
      <c r="AH794" s="89"/>
      <c r="AI794" s="89"/>
      <c r="AJ794" s="89"/>
      <c r="AK794" s="89"/>
    </row>
    <row r="795" customFormat="false" ht="15.75" hidden="false" customHeight="true" outlineLevel="0" collapsed="false">
      <c r="A795" s="76"/>
      <c r="B795" s="76"/>
      <c r="C795" s="88"/>
      <c r="D795" s="89"/>
      <c r="E795" s="89"/>
      <c r="F795" s="89"/>
      <c r="G795" s="89"/>
      <c r="H795" s="89"/>
      <c r="I795" s="90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</row>
    <row r="796" customFormat="false" ht="15.75" hidden="false" customHeight="true" outlineLevel="0" collapsed="false">
      <c r="A796" s="76"/>
      <c r="B796" s="76"/>
      <c r="C796" s="88"/>
      <c r="D796" s="89"/>
      <c r="E796" s="89"/>
      <c r="F796" s="89"/>
      <c r="G796" s="89"/>
      <c r="H796" s="89"/>
      <c r="I796" s="90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  <c r="AE796" s="89"/>
      <c r="AF796" s="89"/>
      <c r="AG796" s="89"/>
      <c r="AH796" s="89"/>
      <c r="AI796" s="89"/>
      <c r="AJ796" s="89"/>
      <c r="AK796" s="89"/>
    </row>
    <row r="797" customFormat="false" ht="15.75" hidden="false" customHeight="true" outlineLevel="0" collapsed="false">
      <c r="A797" s="76"/>
      <c r="B797" s="76"/>
      <c r="C797" s="88"/>
      <c r="D797" s="89"/>
      <c r="E797" s="89"/>
      <c r="F797" s="89"/>
      <c r="G797" s="89"/>
      <c r="H797" s="89"/>
      <c r="I797" s="90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</row>
    <row r="798" customFormat="false" ht="15.75" hidden="false" customHeight="true" outlineLevel="0" collapsed="false">
      <c r="A798" s="76"/>
      <c r="B798" s="76"/>
      <c r="C798" s="88"/>
      <c r="D798" s="89"/>
      <c r="E798" s="89"/>
      <c r="F798" s="89"/>
      <c r="G798" s="89"/>
      <c r="H798" s="89"/>
      <c r="I798" s="90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  <c r="AE798" s="89"/>
      <c r="AF798" s="89"/>
      <c r="AG798" s="89"/>
      <c r="AH798" s="89"/>
      <c r="AI798" s="89"/>
      <c r="AJ798" s="89"/>
      <c r="AK798" s="89"/>
    </row>
    <row r="799" customFormat="false" ht="15.75" hidden="false" customHeight="true" outlineLevel="0" collapsed="false">
      <c r="A799" s="76"/>
      <c r="B799" s="76"/>
      <c r="C799" s="88"/>
      <c r="D799" s="89"/>
      <c r="E799" s="89"/>
      <c r="F799" s="89"/>
      <c r="G799" s="89"/>
      <c r="H799" s="89"/>
      <c r="I799" s="90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  <c r="AE799" s="89"/>
      <c r="AF799" s="89"/>
      <c r="AG799" s="89"/>
      <c r="AH799" s="89"/>
      <c r="AI799" s="89"/>
      <c r="AJ799" s="89"/>
      <c r="AK799" s="89"/>
    </row>
    <row r="800" customFormat="false" ht="15.75" hidden="false" customHeight="true" outlineLevel="0" collapsed="false">
      <c r="A800" s="76"/>
      <c r="B800" s="76"/>
      <c r="C800" s="88"/>
      <c r="D800" s="89"/>
      <c r="E800" s="89"/>
      <c r="F800" s="89"/>
      <c r="G800" s="89"/>
      <c r="H800" s="89"/>
      <c r="I800" s="90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  <c r="AD800" s="89"/>
      <c r="AE800" s="89"/>
      <c r="AF800" s="89"/>
      <c r="AG800" s="89"/>
      <c r="AH800" s="89"/>
      <c r="AI800" s="89"/>
      <c r="AJ800" s="89"/>
      <c r="AK800" s="89"/>
    </row>
    <row r="801" customFormat="false" ht="15.75" hidden="false" customHeight="true" outlineLevel="0" collapsed="false">
      <c r="A801" s="76"/>
      <c r="B801" s="76"/>
      <c r="C801" s="88"/>
      <c r="D801" s="89"/>
      <c r="E801" s="89"/>
      <c r="F801" s="89"/>
      <c r="G801" s="89"/>
      <c r="H801" s="89"/>
      <c r="I801" s="90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  <c r="AE801" s="89"/>
      <c r="AF801" s="89"/>
      <c r="AG801" s="89"/>
      <c r="AH801" s="89"/>
      <c r="AI801" s="89"/>
      <c r="AJ801" s="89"/>
      <c r="AK801" s="89"/>
    </row>
    <row r="802" customFormat="false" ht="15.75" hidden="false" customHeight="true" outlineLevel="0" collapsed="false">
      <c r="A802" s="76"/>
      <c r="B802" s="76"/>
      <c r="C802" s="88"/>
      <c r="D802" s="89"/>
      <c r="E802" s="89"/>
      <c r="F802" s="89"/>
      <c r="G802" s="89"/>
      <c r="H802" s="89"/>
      <c r="I802" s="90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  <c r="AD802" s="89"/>
      <c r="AE802" s="89"/>
      <c r="AF802" s="89"/>
      <c r="AG802" s="89"/>
      <c r="AH802" s="89"/>
      <c r="AI802" s="89"/>
      <c r="AJ802" s="89"/>
      <c r="AK802" s="89"/>
    </row>
    <row r="803" customFormat="false" ht="15.75" hidden="false" customHeight="true" outlineLevel="0" collapsed="false">
      <c r="A803" s="76"/>
      <c r="B803" s="76"/>
      <c r="C803" s="88"/>
      <c r="D803" s="89"/>
      <c r="E803" s="89"/>
      <c r="F803" s="89"/>
      <c r="G803" s="89"/>
      <c r="H803" s="89"/>
      <c r="I803" s="90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  <c r="AD803" s="89"/>
      <c r="AE803" s="89"/>
      <c r="AF803" s="89"/>
      <c r="AG803" s="89"/>
      <c r="AH803" s="89"/>
      <c r="AI803" s="89"/>
      <c r="AJ803" s="89"/>
      <c r="AK803" s="89"/>
    </row>
    <row r="804" customFormat="false" ht="15.75" hidden="false" customHeight="true" outlineLevel="0" collapsed="false">
      <c r="A804" s="76"/>
      <c r="B804" s="76"/>
      <c r="C804" s="88"/>
      <c r="D804" s="89"/>
      <c r="E804" s="89"/>
      <c r="F804" s="89"/>
      <c r="G804" s="89"/>
      <c r="H804" s="89"/>
      <c r="I804" s="90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  <c r="AD804" s="89"/>
      <c r="AE804" s="89"/>
      <c r="AF804" s="89"/>
      <c r="AG804" s="89"/>
      <c r="AH804" s="89"/>
      <c r="AI804" s="89"/>
      <c r="AJ804" s="89"/>
      <c r="AK804" s="89"/>
    </row>
    <row r="805" customFormat="false" ht="15.75" hidden="false" customHeight="true" outlineLevel="0" collapsed="false">
      <c r="A805" s="76"/>
      <c r="B805" s="76"/>
      <c r="C805" s="88"/>
      <c r="D805" s="89"/>
      <c r="E805" s="89"/>
      <c r="F805" s="89"/>
      <c r="G805" s="89"/>
      <c r="H805" s="89"/>
      <c r="I805" s="90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  <c r="AE805" s="89"/>
      <c r="AF805" s="89"/>
      <c r="AG805" s="89"/>
      <c r="AH805" s="89"/>
      <c r="AI805" s="89"/>
      <c r="AJ805" s="89"/>
      <c r="AK805" s="89"/>
    </row>
    <row r="806" customFormat="false" ht="15.75" hidden="false" customHeight="true" outlineLevel="0" collapsed="false">
      <c r="A806" s="76"/>
      <c r="B806" s="76"/>
      <c r="C806" s="88"/>
      <c r="D806" s="89"/>
      <c r="E806" s="89"/>
      <c r="F806" s="89"/>
      <c r="G806" s="89"/>
      <c r="H806" s="89"/>
      <c r="I806" s="90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  <c r="AE806" s="89"/>
      <c r="AF806" s="89"/>
      <c r="AG806" s="89"/>
      <c r="AH806" s="89"/>
      <c r="AI806" s="89"/>
      <c r="AJ806" s="89"/>
      <c r="AK806" s="89"/>
    </row>
    <row r="807" customFormat="false" ht="15.75" hidden="false" customHeight="true" outlineLevel="0" collapsed="false">
      <c r="A807" s="76"/>
      <c r="B807" s="76"/>
      <c r="C807" s="88"/>
      <c r="D807" s="89"/>
      <c r="E807" s="89"/>
      <c r="F807" s="89"/>
      <c r="G807" s="89"/>
      <c r="H807" s="89"/>
      <c r="I807" s="90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  <c r="AE807" s="89"/>
      <c r="AF807" s="89"/>
      <c r="AG807" s="89"/>
      <c r="AH807" s="89"/>
      <c r="AI807" s="89"/>
      <c r="AJ807" s="89"/>
      <c r="AK807" s="89"/>
    </row>
    <row r="808" customFormat="false" ht="15.75" hidden="false" customHeight="true" outlineLevel="0" collapsed="false">
      <c r="A808" s="76"/>
      <c r="B808" s="76"/>
      <c r="C808" s="88"/>
      <c r="D808" s="89"/>
      <c r="E808" s="89"/>
      <c r="F808" s="89"/>
      <c r="G808" s="89"/>
      <c r="H808" s="89"/>
      <c r="I808" s="90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  <c r="AD808" s="89"/>
      <c r="AE808" s="89"/>
      <c r="AF808" s="89"/>
      <c r="AG808" s="89"/>
      <c r="AH808" s="89"/>
      <c r="AI808" s="89"/>
      <c r="AJ808" s="89"/>
      <c r="AK808" s="89"/>
    </row>
    <row r="809" customFormat="false" ht="15.75" hidden="false" customHeight="true" outlineLevel="0" collapsed="false">
      <c r="A809" s="76"/>
      <c r="B809" s="76"/>
      <c r="C809" s="88"/>
      <c r="D809" s="89"/>
      <c r="E809" s="89"/>
      <c r="F809" s="89"/>
      <c r="G809" s="89"/>
      <c r="H809" s="89"/>
      <c r="I809" s="90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  <c r="AE809" s="89"/>
      <c r="AF809" s="89"/>
      <c r="AG809" s="89"/>
      <c r="AH809" s="89"/>
      <c r="AI809" s="89"/>
      <c r="AJ809" s="89"/>
      <c r="AK809" s="89"/>
    </row>
    <row r="810" customFormat="false" ht="15.75" hidden="false" customHeight="true" outlineLevel="0" collapsed="false">
      <c r="A810" s="76"/>
      <c r="B810" s="76"/>
      <c r="C810" s="88"/>
      <c r="D810" s="89"/>
      <c r="E810" s="89"/>
      <c r="F810" s="89"/>
      <c r="G810" s="89"/>
      <c r="H810" s="89"/>
      <c r="I810" s="90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  <c r="AD810" s="89"/>
      <c r="AE810" s="89"/>
      <c r="AF810" s="89"/>
      <c r="AG810" s="89"/>
      <c r="AH810" s="89"/>
      <c r="AI810" s="89"/>
      <c r="AJ810" s="89"/>
      <c r="AK810" s="89"/>
    </row>
    <row r="811" customFormat="false" ht="15.75" hidden="false" customHeight="true" outlineLevel="0" collapsed="false">
      <c r="A811" s="76"/>
      <c r="B811" s="76"/>
      <c r="C811" s="88"/>
      <c r="D811" s="89"/>
      <c r="E811" s="89"/>
      <c r="F811" s="89"/>
      <c r="G811" s="89"/>
      <c r="H811" s="89"/>
      <c r="I811" s="90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  <c r="AE811" s="89"/>
      <c r="AF811" s="89"/>
      <c r="AG811" s="89"/>
      <c r="AH811" s="89"/>
      <c r="AI811" s="89"/>
      <c r="AJ811" s="89"/>
      <c r="AK811" s="89"/>
    </row>
    <row r="812" customFormat="false" ht="15.75" hidden="false" customHeight="true" outlineLevel="0" collapsed="false">
      <c r="A812" s="76"/>
      <c r="B812" s="76"/>
      <c r="C812" s="88"/>
      <c r="D812" s="89"/>
      <c r="E812" s="89"/>
      <c r="F812" s="89"/>
      <c r="G812" s="89"/>
      <c r="H812" s="89"/>
      <c r="I812" s="90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  <c r="AD812" s="89"/>
      <c r="AE812" s="89"/>
      <c r="AF812" s="89"/>
      <c r="AG812" s="89"/>
      <c r="AH812" s="89"/>
      <c r="AI812" s="89"/>
      <c r="AJ812" s="89"/>
      <c r="AK812" s="89"/>
    </row>
    <row r="813" customFormat="false" ht="15.75" hidden="false" customHeight="true" outlineLevel="0" collapsed="false">
      <c r="A813" s="76"/>
      <c r="B813" s="76"/>
      <c r="C813" s="88"/>
      <c r="D813" s="89"/>
      <c r="E813" s="89"/>
      <c r="F813" s="89"/>
      <c r="G813" s="89"/>
      <c r="H813" s="89"/>
      <c r="I813" s="90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  <c r="AE813" s="89"/>
      <c r="AF813" s="89"/>
      <c r="AG813" s="89"/>
      <c r="AH813" s="89"/>
      <c r="AI813" s="89"/>
      <c r="AJ813" s="89"/>
      <c r="AK813" s="89"/>
    </row>
    <row r="814" customFormat="false" ht="15.75" hidden="false" customHeight="true" outlineLevel="0" collapsed="false">
      <c r="A814" s="76"/>
      <c r="B814" s="76"/>
      <c r="C814" s="88"/>
      <c r="D814" s="89"/>
      <c r="E814" s="89"/>
      <c r="F814" s="89"/>
      <c r="G814" s="89"/>
      <c r="H814" s="89"/>
      <c r="I814" s="90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  <c r="AE814" s="89"/>
      <c r="AF814" s="89"/>
      <c r="AG814" s="89"/>
      <c r="AH814" s="89"/>
      <c r="AI814" s="89"/>
      <c r="AJ814" s="89"/>
      <c r="AK814" s="89"/>
    </row>
    <row r="815" customFormat="false" ht="15.75" hidden="false" customHeight="true" outlineLevel="0" collapsed="false">
      <c r="A815" s="76"/>
      <c r="B815" s="76"/>
      <c r="C815" s="88"/>
      <c r="D815" s="89"/>
      <c r="E815" s="89"/>
      <c r="F815" s="89"/>
      <c r="G815" s="89"/>
      <c r="H815" s="89"/>
      <c r="I815" s="90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  <c r="AE815" s="89"/>
      <c r="AF815" s="89"/>
      <c r="AG815" s="89"/>
      <c r="AH815" s="89"/>
      <c r="AI815" s="89"/>
      <c r="AJ815" s="89"/>
      <c r="AK815" s="89"/>
    </row>
    <row r="816" customFormat="false" ht="15.75" hidden="false" customHeight="true" outlineLevel="0" collapsed="false">
      <c r="A816" s="76"/>
      <c r="B816" s="76"/>
      <c r="C816" s="88"/>
      <c r="D816" s="89"/>
      <c r="E816" s="89"/>
      <c r="F816" s="89"/>
      <c r="G816" s="89"/>
      <c r="H816" s="89"/>
      <c r="I816" s="90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  <c r="AD816" s="89"/>
      <c r="AE816" s="89"/>
      <c r="AF816" s="89"/>
      <c r="AG816" s="89"/>
      <c r="AH816" s="89"/>
      <c r="AI816" s="89"/>
      <c r="AJ816" s="89"/>
      <c r="AK816" s="89"/>
    </row>
    <row r="817" customFormat="false" ht="15.75" hidden="false" customHeight="true" outlineLevel="0" collapsed="false">
      <c r="A817" s="76"/>
      <c r="B817" s="76"/>
      <c r="C817" s="88"/>
      <c r="D817" s="89"/>
      <c r="E817" s="89"/>
      <c r="F817" s="89"/>
      <c r="G817" s="89"/>
      <c r="H817" s="89"/>
      <c r="I817" s="90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  <c r="AE817" s="89"/>
      <c r="AF817" s="89"/>
      <c r="AG817" s="89"/>
      <c r="AH817" s="89"/>
      <c r="AI817" s="89"/>
      <c r="AJ817" s="89"/>
      <c r="AK817" s="89"/>
    </row>
    <row r="818" customFormat="false" ht="15.75" hidden="false" customHeight="true" outlineLevel="0" collapsed="false">
      <c r="A818" s="76"/>
      <c r="B818" s="76"/>
      <c r="C818" s="88"/>
      <c r="D818" s="89"/>
      <c r="E818" s="89"/>
      <c r="F818" s="89"/>
      <c r="G818" s="89"/>
      <c r="H818" s="89"/>
      <c r="I818" s="90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  <c r="AD818" s="89"/>
      <c r="AE818" s="89"/>
      <c r="AF818" s="89"/>
      <c r="AG818" s="89"/>
      <c r="AH818" s="89"/>
      <c r="AI818" s="89"/>
      <c r="AJ818" s="89"/>
      <c r="AK818" s="89"/>
    </row>
    <row r="819" customFormat="false" ht="15.75" hidden="false" customHeight="true" outlineLevel="0" collapsed="false">
      <c r="A819" s="76"/>
      <c r="B819" s="76"/>
      <c r="C819" s="88"/>
      <c r="D819" s="89"/>
      <c r="E819" s="89"/>
      <c r="F819" s="89"/>
      <c r="G819" s="89"/>
      <c r="H819" s="89"/>
      <c r="I819" s="90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  <c r="AE819" s="89"/>
      <c r="AF819" s="89"/>
      <c r="AG819" s="89"/>
      <c r="AH819" s="89"/>
      <c r="AI819" s="89"/>
      <c r="AJ819" s="89"/>
      <c r="AK819" s="89"/>
    </row>
    <row r="820" customFormat="false" ht="15.75" hidden="false" customHeight="true" outlineLevel="0" collapsed="false">
      <c r="A820" s="76"/>
      <c r="B820" s="76"/>
      <c r="C820" s="88"/>
      <c r="D820" s="89"/>
      <c r="E820" s="89"/>
      <c r="F820" s="89"/>
      <c r="G820" s="89"/>
      <c r="H820" s="89"/>
      <c r="I820" s="90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  <c r="AE820" s="89"/>
      <c r="AF820" s="89"/>
      <c r="AG820" s="89"/>
      <c r="AH820" s="89"/>
      <c r="AI820" s="89"/>
      <c r="AJ820" s="89"/>
      <c r="AK820" s="89"/>
    </row>
    <row r="821" customFormat="false" ht="15.75" hidden="false" customHeight="true" outlineLevel="0" collapsed="false">
      <c r="A821" s="76"/>
      <c r="B821" s="76"/>
      <c r="C821" s="88"/>
      <c r="D821" s="89"/>
      <c r="E821" s="89"/>
      <c r="F821" s="89"/>
      <c r="G821" s="89"/>
      <c r="H821" s="89"/>
      <c r="I821" s="90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  <c r="AE821" s="89"/>
      <c r="AF821" s="89"/>
      <c r="AG821" s="89"/>
      <c r="AH821" s="89"/>
      <c r="AI821" s="89"/>
      <c r="AJ821" s="89"/>
      <c r="AK821" s="89"/>
    </row>
    <row r="822" customFormat="false" ht="15.75" hidden="false" customHeight="true" outlineLevel="0" collapsed="false">
      <c r="A822" s="76"/>
      <c r="B822" s="76"/>
      <c r="C822" s="88"/>
      <c r="D822" s="89"/>
      <c r="E822" s="89"/>
      <c r="F822" s="89"/>
      <c r="G822" s="89"/>
      <c r="H822" s="89"/>
      <c r="I822" s="90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  <c r="AE822" s="89"/>
      <c r="AF822" s="89"/>
      <c r="AG822" s="89"/>
      <c r="AH822" s="89"/>
      <c r="AI822" s="89"/>
      <c r="AJ822" s="89"/>
      <c r="AK822" s="89"/>
    </row>
    <row r="823" customFormat="false" ht="15.75" hidden="false" customHeight="true" outlineLevel="0" collapsed="false">
      <c r="A823" s="76"/>
      <c r="B823" s="76"/>
      <c r="C823" s="88"/>
      <c r="D823" s="89"/>
      <c r="E823" s="89"/>
      <c r="F823" s="89"/>
      <c r="G823" s="89"/>
      <c r="H823" s="89"/>
      <c r="I823" s="90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  <c r="AH823" s="89"/>
      <c r="AI823" s="89"/>
      <c r="AJ823" s="89"/>
      <c r="AK823" s="89"/>
    </row>
    <row r="824" customFormat="false" ht="15.75" hidden="false" customHeight="true" outlineLevel="0" collapsed="false">
      <c r="A824" s="76"/>
      <c r="B824" s="76"/>
      <c r="C824" s="88"/>
      <c r="D824" s="89"/>
      <c r="E824" s="89"/>
      <c r="F824" s="89"/>
      <c r="G824" s="89"/>
      <c r="H824" s="89"/>
      <c r="I824" s="90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  <c r="AD824" s="89"/>
      <c r="AE824" s="89"/>
      <c r="AF824" s="89"/>
      <c r="AG824" s="89"/>
      <c r="AH824" s="89"/>
      <c r="AI824" s="89"/>
      <c r="AJ824" s="89"/>
      <c r="AK824" s="89"/>
    </row>
    <row r="825" customFormat="false" ht="15.75" hidden="false" customHeight="true" outlineLevel="0" collapsed="false">
      <c r="A825" s="76"/>
      <c r="B825" s="76"/>
      <c r="C825" s="88"/>
      <c r="D825" s="89"/>
      <c r="E825" s="89"/>
      <c r="F825" s="89"/>
      <c r="G825" s="89"/>
      <c r="H825" s="89"/>
      <c r="I825" s="90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  <c r="AE825" s="89"/>
      <c r="AF825" s="89"/>
      <c r="AG825" s="89"/>
      <c r="AH825" s="89"/>
      <c r="AI825" s="89"/>
      <c r="AJ825" s="89"/>
      <c r="AK825" s="89"/>
    </row>
    <row r="826" customFormat="false" ht="15.75" hidden="false" customHeight="true" outlineLevel="0" collapsed="false">
      <c r="A826" s="76"/>
      <c r="B826" s="76"/>
      <c r="C826" s="88"/>
      <c r="D826" s="89"/>
      <c r="E826" s="89"/>
      <c r="F826" s="89"/>
      <c r="G826" s="89"/>
      <c r="H826" s="89"/>
      <c r="I826" s="90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  <c r="AD826" s="89"/>
      <c r="AE826" s="89"/>
      <c r="AF826" s="89"/>
      <c r="AG826" s="89"/>
      <c r="AH826" s="89"/>
      <c r="AI826" s="89"/>
      <c r="AJ826" s="89"/>
      <c r="AK826" s="89"/>
    </row>
    <row r="827" customFormat="false" ht="15.75" hidden="false" customHeight="true" outlineLevel="0" collapsed="false">
      <c r="A827" s="76"/>
      <c r="B827" s="76"/>
      <c r="C827" s="88"/>
      <c r="D827" s="89"/>
      <c r="E827" s="89"/>
      <c r="F827" s="89"/>
      <c r="G827" s="89"/>
      <c r="H827" s="89"/>
      <c r="I827" s="90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  <c r="AD827" s="89"/>
      <c r="AE827" s="89"/>
      <c r="AF827" s="89"/>
      <c r="AG827" s="89"/>
      <c r="AH827" s="89"/>
      <c r="AI827" s="89"/>
      <c r="AJ827" s="89"/>
      <c r="AK827" s="89"/>
    </row>
    <row r="828" customFormat="false" ht="15.75" hidden="false" customHeight="true" outlineLevel="0" collapsed="false">
      <c r="A828" s="76"/>
      <c r="B828" s="76"/>
      <c r="C828" s="88"/>
      <c r="D828" s="89"/>
      <c r="E828" s="89"/>
      <c r="F828" s="89"/>
      <c r="G828" s="89"/>
      <c r="H828" s="89"/>
      <c r="I828" s="90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  <c r="AD828" s="89"/>
      <c r="AE828" s="89"/>
      <c r="AF828" s="89"/>
      <c r="AG828" s="89"/>
      <c r="AH828" s="89"/>
      <c r="AI828" s="89"/>
      <c r="AJ828" s="89"/>
      <c r="AK828" s="89"/>
    </row>
    <row r="829" customFormat="false" ht="15.75" hidden="false" customHeight="true" outlineLevel="0" collapsed="false">
      <c r="A829" s="76"/>
      <c r="B829" s="76"/>
      <c r="C829" s="88"/>
      <c r="D829" s="89"/>
      <c r="E829" s="89"/>
      <c r="F829" s="89"/>
      <c r="G829" s="89"/>
      <c r="H829" s="89"/>
      <c r="I829" s="90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  <c r="AD829" s="89"/>
      <c r="AE829" s="89"/>
      <c r="AF829" s="89"/>
      <c r="AG829" s="89"/>
      <c r="AH829" s="89"/>
      <c r="AI829" s="89"/>
      <c r="AJ829" s="89"/>
      <c r="AK829" s="89"/>
    </row>
    <row r="830" customFormat="false" ht="15.75" hidden="false" customHeight="true" outlineLevel="0" collapsed="false">
      <c r="A830" s="76"/>
      <c r="B830" s="76"/>
      <c r="C830" s="88"/>
      <c r="D830" s="89"/>
      <c r="E830" s="89"/>
      <c r="F830" s="89"/>
      <c r="G830" s="89"/>
      <c r="H830" s="89"/>
      <c r="I830" s="90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</row>
    <row r="831" customFormat="false" ht="15.75" hidden="false" customHeight="true" outlineLevel="0" collapsed="false">
      <c r="A831" s="76"/>
      <c r="B831" s="76"/>
      <c r="C831" s="88"/>
      <c r="D831" s="89"/>
      <c r="E831" s="89"/>
      <c r="F831" s="89"/>
      <c r="G831" s="89"/>
      <c r="H831" s="89"/>
      <c r="I831" s="90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</row>
    <row r="832" customFormat="false" ht="15.75" hidden="false" customHeight="true" outlineLevel="0" collapsed="false">
      <c r="A832" s="76"/>
      <c r="B832" s="76"/>
      <c r="C832" s="88"/>
      <c r="D832" s="89"/>
      <c r="E832" s="89"/>
      <c r="F832" s="89"/>
      <c r="G832" s="89"/>
      <c r="H832" s="89"/>
      <c r="I832" s="90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  <c r="AD832" s="89"/>
      <c r="AE832" s="89"/>
      <c r="AF832" s="89"/>
      <c r="AG832" s="89"/>
      <c r="AH832" s="89"/>
      <c r="AI832" s="89"/>
      <c r="AJ832" s="89"/>
      <c r="AK832" s="89"/>
    </row>
    <row r="833" customFormat="false" ht="15.75" hidden="false" customHeight="true" outlineLevel="0" collapsed="false">
      <c r="A833" s="76"/>
      <c r="B833" s="76"/>
      <c r="C833" s="88"/>
      <c r="D833" s="89"/>
      <c r="E833" s="89"/>
      <c r="F833" s="89"/>
      <c r="G833" s="89"/>
      <c r="H833" s="89"/>
      <c r="I833" s="90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  <c r="AE833" s="89"/>
      <c r="AF833" s="89"/>
      <c r="AG833" s="89"/>
      <c r="AH833" s="89"/>
      <c r="AI833" s="89"/>
      <c r="AJ833" s="89"/>
      <c r="AK833" s="89"/>
    </row>
    <row r="834" customFormat="false" ht="15.75" hidden="false" customHeight="true" outlineLevel="0" collapsed="false">
      <c r="A834" s="76"/>
      <c r="B834" s="76"/>
      <c r="C834" s="88"/>
      <c r="D834" s="89"/>
      <c r="E834" s="89"/>
      <c r="F834" s="89"/>
      <c r="G834" s="89"/>
      <c r="H834" s="89"/>
      <c r="I834" s="90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  <c r="AE834" s="89"/>
      <c r="AF834" s="89"/>
      <c r="AG834" s="89"/>
      <c r="AH834" s="89"/>
      <c r="AI834" s="89"/>
      <c r="AJ834" s="89"/>
      <c r="AK834" s="89"/>
    </row>
    <row r="835" customFormat="false" ht="15.75" hidden="false" customHeight="true" outlineLevel="0" collapsed="false">
      <c r="A835" s="76"/>
      <c r="B835" s="76"/>
      <c r="C835" s="88"/>
      <c r="D835" s="89"/>
      <c r="E835" s="89"/>
      <c r="F835" s="89"/>
      <c r="G835" s="89"/>
      <c r="H835" s="89"/>
      <c r="I835" s="90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  <c r="AE835" s="89"/>
      <c r="AF835" s="89"/>
      <c r="AG835" s="89"/>
      <c r="AH835" s="89"/>
      <c r="AI835" s="89"/>
      <c r="AJ835" s="89"/>
      <c r="AK835" s="89"/>
    </row>
    <row r="836" customFormat="false" ht="15.75" hidden="false" customHeight="true" outlineLevel="0" collapsed="false">
      <c r="A836" s="76"/>
      <c r="B836" s="76"/>
      <c r="C836" s="88"/>
      <c r="D836" s="89"/>
      <c r="E836" s="89"/>
      <c r="F836" s="89"/>
      <c r="G836" s="89"/>
      <c r="H836" s="89"/>
      <c r="I836" s="90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  <c r="AD836" s="89"/>
      <c r="AE836" s="89"/>
      <c r="AF836" s="89"/>
      <c r="AG836" s="89"/>
      <c r="AH836" s="89"/>
      <c r="AI836" s="89"/>
      <c r="AJ836" s="89"/>
      <c r="AK836" s="89"/>
    </row>
    <row r="837" customFormat="false" ht="15.75" hidden="false" customHeight="true" outlineLevel="0" collapsed="false">
      <c r="A837" s="76"/>
      <c r="B837" s="76"/>
      <c r="C837" s="88"/>
      <c r="D837" s="89"/>
      <c r="E837" s="89"/>
      <c r="F837" s="89"/>
      <c r="G837" s="89"/>
      <c r="H837" s="89"/>
      <c r="I837" s="90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  <c r="AE837" s="89"/>
      <c r="AF837" s="89"/>
      <c r="AG837" s="89"/>
      <c r="AH837" s="89"/>
      <c r="AI837" s="89"/>
      <c r="AJ837" s="89"/>
      <c r="AK837" s="89"/>
    </row>
    <row r="838" customFormat="false" ht="15.75" hidden="false" customHeight="true" outlineLevel="0" collapsed="false">
      <c r="A838" s="76"/>
      <c r="B838" s="76"/>
      <c r="C838" s="88"/>
      <c r="D838" s="89"/>
      <c r="E838" s="89"/>
      <c r="F838" s="89"/>
      <c r="G838" s="89"/>
      <c r="H838" s="89"/>
      <c r="I838" s="90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  <c r="AE838" s="89"/>
      <c r="AF838" s="89"/>
      <c r="AG838" s="89"/>
      <c r="AH838" s="89"/>
      <c r="AI838" s="89"/>
      <c r="AJ838" s="89"/>
      <c r="AK838" s="89"/>
    </row>
    <row r="839" customFormat="false" ht="15.75" hidden="false" customHeight="true" outlineLevel="0" collapsed="false">
      <c r="A839" s="76"/>
      <c r="B839" s="76"/>
      <c r="C839" s="88"/>
      <c r="D839" s="89"/>
      <c r="E839" s="89"/>
      <c r="F839" s="89"/>
      <c r="G839" s="89"/>
      <c r="H839" s="89"/>
      <c r="I839" s="90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  <c r="AE839" s="89"/>
      <c r="AF839" s="89"/>
      <c r="AG839" s="89"/>
      <c r="AH839" s="89"/>
      <c r="AI839" s="89"/>
      <c r="AJ839" s="89"/>
      <c r="AK839" s="89"/>
    </row>
    <row r="840" customFormat="false" ht="15.75" hidden="false" customHeight="true" outlineLevel="0" collapsed="false">
      <c r="A840" s="76"/>
      <c r="B840" s="76"/>
      <c r="C840" s="88"/>
      <c r="D840" s="89"/>
      <c r="E840" s="89"/>
      <c r="F840" s="89"/>
      <c r="G840" s="89"/>
      <c r="H840" s="89"/>
      <c r="I840" s="90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  <c r="AE840" s="89"/>
      <c r="AF840" s="89"/>
      <c r="AG840" s="89"/>
      <c r="AH840" s="89"/>
      <c r="AI840" s="89"/>
      <c r="AJ840" s="89"/>
      <c r="AK840" s="89"/>
    </row>
    <row r="841" customFormat="false" ht="15.75" hidden="false" customHeight="true" outlineLevel="0" collapsed="false">
      <c r="A841" s="76"/>
      <c r="B841" s="76"/>
      <c r="C841" s="88"/>
      <c r="D841" s="89"/>
      <c r="E841" s="89"/>
      <c r="F841" s="89"/>
      <c r="G841" s="89"/>
      <c r="H841" s="89"/>
      <c r="I841" s="90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  <c r="AE841" s="89"/>
      <c r="AF841" s="89"/>
      <c r="AG841" s="89"/>
      <c r="AH841" s="89"/>
      <c r="AI841" s="89"/>
      <c r="AJ841" s="89"/>
      <c r="AK841" s="89"/>
    </row>
    <row r="842" customFormat="false" ht="15.75" hidden="false" customHeight="true" outlineLevel="0" collapsed="false">
      <c r="A842" s="76"/>
      <c r="B842" s="76"/>
      <c r="C842" s="88"/>
      <c r="D842" s="89"/>
      <c r="E842" s="89"/>
      <c r="F842" s="89"/>
      <c r="G842" s="89"/>
      <c r="H842" s="89"/>
      <c r="I842" s="90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  <c r="AE842" s="89"/>
      <c r="AF842" s="89"/>
      <c r="AG842" s="89"/>
      <c r="AH842" s="89"/>
      <c r="AI842" s="89"/>
      <c r="AJ842" s="89"/>
      <c r="AK842" s="89"/>
    </row>
    <row r="843" customFormat="false" ht="15.75" hidden="false" customHeight="true" outlineLevel="0" collapsed="false">
      <c r="A843" s="76"/>
      <c r="B843" s="76"/>
      <c r="C843" s="88"/>
      <c r="D843" s="89"/>
      <c r="E843" s="89"/>
      <c r="F843" s="89"/>
      <c r="G843" s="89"/>
      <c r="H843" s="89"/>
      <c r="I843" s="90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  <c r="AE843" s="89"/>
      <c r="AF843" s="89"/>
      <c r="AG843" s="89"/>
      <c r="AH843" s="89"/>
      <c r="AI843" s="89"/>
      <c r="AJ843" s="89"/>
      <c r="AK843" s="89"/>
    </row>
    <row r="844" customFormat="false" ht="15.75" hidden="false" customHeight="true" outlineLevel="0" collapsed="false">
      <c r="A844" s="76"/>
      <c r="B844" s="76"/>
      <c r="C844" s="88"/>
      <c r="D844" s="89"/>
      <c r="E844" s="89"/>
      <c r="F844" s="89"/>
      <c r="G844" s="89"/>
      <c r="H844" s="89"/>
      <c r="I844" s="90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  <c r="AD844" s="89"/>
      <c r="AE844" s="89"/>
      <c r="AF844" s="89"/>
      <c r="AG844" s="89"/>
      <c r="AH844" s="89"/>
      <c r="AI844" s="89"/>
      <c r="AJ844" s="89"/>
      <c r="AK844" s="89"/>
    </row>
    <row r="845" customFormat="false" ht="15.75" hidden="false" customHeight="true" outlineLevel="0" collapsed="false">
      <c r="A845" s="76"/>
      <c r="B845" s="76"/>
      <c r="C845" s="88"/>
      <c r="D845" s="89"/>
      <c r="E845" s="89"/>
      <c r="F845" s="89"/>
      <c r="G845" s="89"/>
      <c r="H845" s="89"/>
      <c r="I845" s="90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  <c r="AE845" s="89"/>
      <c r="AF845" s="89"/>
      <c r="AG845" s="89"/>
      <c r="AH845" s="89"/>
      <c r="AI845" s="89"/>
      <c r="AJ845" s="89"/>
      <c r="AK845" s="89"/>
    </row>
    <row r="846" customFormat="false" ht="15.75" hidden="false" customHeight="true" outlineLevel="0" collapsed="false">
      <c r="A846" s="76"/>
      <c r="B846" s="76"/>
      <c r="C846" s="88"/>
      <c r="D846" s="89"/>
      <c r="E846" s="89"/>
      <c r="F846" s="89"/>
      <c r="G846" s="89"/>
      <c r="H846" s="89"/>
      <c r="I846" s="90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  <c r="AD846" s="89"/>
      <c r="AE846" s="89"/>
      <c r="AF846" s="89"/>
      <c r="AG846" s="89"/>
      <c r="AH846" s="89"/>
      <c r="AI846" s="89"/>
      <c r="AJ846" s="89"/>
      <c r="AK846" s="89"/>
    </row>
    <row r="847" customFormat="false" ht="15.75" hidden="false" customHeight="true" outlineLevel="0" collapsed="false">
      <c r="A847" s="76"/>
      <c r="B847" s="76"/>
      <c r="C847" s="88"/>
      <c r="D847" s="89"/>
      <c r="E847" s="89"/>
      <c r="F847" s="89"/>
      <c r="G847" s="89"/>
      <c r="H847" s="89"/>
      <c r="I847" s="90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  <c r="AE847" s="89"/>
      <c r="AF847" s="89"/>
      <c r="AG847" s="89"/>
      <c r="AH847" s="89"/>
      <c r="AI847" s="89"/>
      <c r="AJ847" s="89"/>
      <c r="AK847" s="89"/>
    </row>
    <row r="848" customFormat="false" ht="15.75" hidden="false" customHeight="true" outlineLevel="0" collapsed="false">
      <c r="A848" s="76"/>
      <c r="B848" s="76"/>
      <c r="C848" s="88"/>
      <c r="D848" s="89"/>
      <c r="E848" s="89"/>
      <c r="F848" s="89"/>
      <c r="G848" s="89"/>
      <c r="H848" s="89"/>
      <c r="I848" s="90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  <c r="AE848" s="89"/>
      <c r="AF848" s="89"/>
      <c r="AG848" s="89"/>
      <c r="AH848" s="89"/>
      <c r="AI848" s="89"/>
      <c r="AJ848" s="89"/>
      <c r="AK848" s="89"/>
    </row>
    <row r="849" customFormat="false" ht="15.75" hidden="false" customHeight="true" outlineLevel="0" collapsed="false">
      <c r="A849" s="76"/>
      <c r="B849" s="76"/>
      <c r="C849" s="88"/>
      <c r="D849" s="89"/>
      <c r="E849" s="89"/>
      <c r="F849" s="89"/>
      <c r="G849" s="89"/>
      <c r="H849" s="89"/>
      <c r="I849" s="90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  <c r="AE849" s="89"/>
      <c r="AF849" s="89"/>
      <c r="AG849" s="89"/>
      <c r="AH849" s="89"/>
      <c r="AI849" s="89"/>
      <c r="AJ849" s="89"/>
      <c r="AK849" s="89"/>
    </row>
    <row r="850" customFormat="false" ht="15.75" hidden="false" customHeight="true" outlineLevel="0" collapsed="false">
      <c r="A850" s="76"/>
      <c r="B850" s="76"/>
      <c r="C850" s="88"/>
      <c r="D850" s="89"/>
      <c r="E850" s="89"/>
      <c r="F850" s="89"/>
      <c r="G850" s="89"/>
      <c r="H850" s="89"/>
      <c r="I850" s="90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  <c r="AE850" s="89"/>
      <c r="AF850" s="89"/>
      <c r="AG850" s="89"/>
      <c r="AH850" s="89"/>
      <c r="AI850" s="89"/>
      <c r="AJ850" s="89"/>
      <c r="AK850" s="89"/>
    </row>
    <row r="851" customFormat="false" ht="15.75" hidden="false" customHeight="true" outlineLevel="0" collapsed="false">
      <c r="A851" s="76"/>
      <c r="B851" s="76"/>
      <c r="C851" s="88"/>
      <c r="D851" s="89"/>
      <c r="E851" s="89"/>
      <c r="F851" s="89"/>
      <c r="G851" s="89"/>
      <c r="H851" s="89"/>
      <c r="I851" s="90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  <c r="AE851" s="89"/>
      <c r="AF851" s="89"/>
      <c r="AG851" s="89"/>
      <c r="AH851" s="89"/>
      <c r="AI851" s="89"/>
      <c r="AJ851" s="89"/>
      <c r="AK851" s="89"/>
    </row>
    <row r="852" customFormat="false" ht="15.75" hidden="false" customHeight="true" outlineLevel="0" collapsed="false">
      <c r="A852" s="76"/>
      <c r="B852" s="76"/>
      <c r="C852" s="88"/>
      <c r="D852" s="89"/>
      <c r="E852" s="89"/>
      <c r="F852" s="89"/>
      <c r="G852" s="89"/>
      <c r="H852" s="89"/>
      <c r="I852" s="90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  <c r="AE852" s="89"/>
      <c r="AF852" s="89"/>
      <c r="AG852" s="89"/>
      <c r="AH852" s="89"/>
      <c r="AI852" s="89"/>
      <c r="AJ852" s="89"/>
      <c r="AK852" s="89"/>
    </row>
    <row r="853" customFormat="false" ht="15.75" hidden="false" customHeight="true" outlineLevel="0" collapsed="false">
      <c r="A853" s="76"/>
      <c r="B853" s="76"/>
      <c r="C853" s="88"/>
      <c r="D853" s="89"/>
      <c r="E853" s="89"/>
      <c r="F853" s="89"/>
      <c r="G853" s="89"/>
      <c r="H853" s="89"/>
      <c r="I853" s="90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  <c r="AE853" s="89"/>
      <c r="AF853" s="89"/>
      <c r="AG853" s="89"/>
      <c r="AH853" s="89"/>
      <c r="AI853" s="89"/>
      <c r="AJ853" s="89"/>
      <c r="AK853" s="89"/>
    </row>
    <row r="854" customFormat="false" ht="15.75" hidden="false" customHeight="true" outlineLevel="0" collapsed="false">
      <c r="A854" s="76"/>
      <c r="B854" s="76"/>
      <c r="C854" s="88"/>
      <c r="D854" s="89"/>
      <c r="E854" s="89"/>
      <c r="F854" s="89"/>
      <c r="G854" s="89"/>
      <c r="H854" s="89"/>
      <c r="I854" s="90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  <c r="AE854" s="89"/>
      <c r="AF854" s="89"/>
      <c r="AG854" s="89"/>
      <c r="AH854" s="89"/>
      <c r="AI854" s="89"/>
      <c r="AJ854" s="89"/>
      <c r="AK854" s="89"/>
    </row>
    <row r="855" customFormat="false" ht="15.75" hidden="false" customHeight="true" outlineLevel="0" collapsed="false">
      <c r="A855" s="76"/>
      <c r="B855" s="76"/>
      <c r="C855" s="88"/>
      <c r="D855" s="89"/>
      <c r="E855" s="89"/>
      <c r="F855" s="89"/>
      <c r="G855" s="89"/>
      <c r="H855" s="89"/>
      <c r="I855" s="90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  <c r="AE855" s="89"/>
      <c r="AF855" s="89"/>
      <c r="AG855" s="89"/>
      <c r="AH855" s="89"/>
      <c r="AI855" s="89"/>
      <c r="AJ855" s="89"/>
      <c r="AK855" s="89"/>
    </row>
    <row r="856" customFormat="false" ht="15.75" hidden="false" customHeight="true" outlineLevel="0" collapsed="false">
      <c r="A856" s="76"/>
      <c r="B856" s="76"/>
      <c r="C856" s="88"/>
      <c r="D856" s="89"/>
      <c r="E856" s="89"/>
      <c r="F856" s="89"/>
      <c r="G856" s="89"/>
      <c r="H856" s="89"/>
      <c r="I856" s="90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  <c r="AE856" s="89"/>
      <c r="AF856" s="89"/>
      <c r="AG856" s="89"/>
      <c r="AH856" s="89"/>
      <c r="AI856" s="89"/>
      <c r="AJ856" s="89"/>
      <c r="AK856" s="89"/>
    </row>
    <row r="857" customFormat="false" ht="15.75" hidden="false" customHeight="true" outlineLevel="0" collapsed="false">
      <c r="A857" s="76"/>
      <c r="B857" s="76"/>
      <c r="C857" s="88"/>
      <c r="D857" s="89"/>
      <c r="E857" s="89"/>
      <c r="F857" s="89"/>
      <c r="G857" s="89"/>
      <c r="H857" s="89"/>
      <c r="I857" s="90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  <c r="AE857" s="89"/>
      <c r="AF857" s="89"/>
      <c r="AG857" s="89"/>
      <c r="AH857" s="89"/>
      <c r="AI857" s="89"/>
      <c r="AJ857" s="89"/>
      <c r="AK857" s="89"/>
    </row>
    <row r="858" customFormat="false" ht="15.75" hidden="false" customHeight="true" outlineLevel="0" collapsed="false">
      <c r="A858" s="76"/>
      <c r="B858" s="76"/>
      <c r="C858" s="88"/>
      <c r="D858" s="89"/>
      <c r="E858" s="89"/>
      <c r="F858" s="89"/>
      <c r="G858" s="89"/>
      <c r="H858" s="89"/>
      <c r="I858" s="90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  <c r="AD858" s="89"/>
      <c r="AE858" s="89"/>
      <c r="AF858" s="89"/>
      <c r="AG858" s="89"/>
      <c r="AH858" s="89"/>
      <c r="AI858" s="89"/>
      <c r="AJ858" s="89"/>
      <c r="AK858" s="89"/>
    </row>
    <row r="859" customFormat="false" ht="15.75" hidden="false" customHeight="true" outlineLevel="0" collapsed="false">
      <c r="A859" s="76"/>
      <c r="B859" s="76"/>
      <c r="C859" s="88"/>
      <c r="D859" s="89"/>
      <c r="E859" s="89"/>
      <c r="F859" s="89"/>
      <c r="G859" s="89"/>
      <c r="H859" s="89"/>
      <c r="I859" s="90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  <c r="AE859" s="89"/>
      <c r="AF859" s="89"/>
      <c r="AG859" s="89"/>
      <c r="AH859" s="89"/>
      <c r="AI859" s="89"/>
      <c r="AJ859" s="89"/>
      <c r="AK859" s="89"/>
    </row>
    <row r="860" customFormat="false" ht="15.75" hidden="false" customHeight="true" outlineLevel="0" collapsed="false">
      <c r="A860" s="76"/>
      <c r="B860" s="76"/>
      <c r="C860" s="88"/>
      <c r="D860" s="89"/>
      <c r="E860" s="89"/>
      <c r="F860" s="89"/>
      <c r="G860" s="89"/>
      <c r="H860" s="89"/>
      <c r="I860" s="90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  <c r="AE860" s="89"/>
      <c r="AF860" s="89"/>
      <c r="AG860" s="89"/>
      <c r="AH860" s="89"/>
      <c r="AI860" s="89"/>
      <c r="AJ860" s="89"/>
      <c r="AK860" s="89"/>
    </row>
    <row r="861" customFormat="false" ht="15.75" hidden="false" customHeight="true" outlineLevel="0" collapsed="false">
      <c r="A861" s="76"/>
      <c r="B861" s="76"/>
      <c r="C861" s="88"/>
      <c r="D861" s="89"/>
      <c r="E861" s="89"/>
      <c r="F861" s="89"/>
      <c r="G861" s="89"/>
      <c r="H861" s="89"/>
      <c r="I861" s="90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  <c r="AE861" s="89"/>
      <c r="AF861" s="89"/>
      <c r="AG861" s="89"/>
      <c r="AH861" s="89"/>
      <c r="AI861" s="89"/>
      <c r="AJ861" s="89"/>
      <c r="AK861" s="89"/>
    </row>
    <row r="862" customFormat="false" ht="15.75" hidden="false" customHeight="true" outlineLevel="0" collapsed="false">
      <c r="A862" s="76"/>
      <c r="B862" s="76"/>
      <c r="C862" s="88"/>
      <c r="D862" s="89"/>
      <c r="E862" s="89"/>
      <c r="F862" s="89"/>
      <c r="G862" s="89"/>
      <c r="H862" s="89"/>
      <c r="I862" s="90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  <c r="AD862" s="89"/>
      <c r="AE862" s="89"/>
      <c r="AF862" s="89"/>
      <c r="AG862" s="89"/>
      <c r="AH862" s="89"/>
      <c r="AI862" s="89"/>
      <c r="AJ862" s="89"/>
      <c r="AK862" s="89"/>
    </row>
    <row r="863" customFormat="false" ht="15.75" hidden="false" customHeight="true" outlineLevel="0" collapsed="false">
      <c r="A863" s="76"/>
      <c r="B863" s="76"/>
      <c r="C863" s="88"/>
      <c r="D863" s="89"/>
      <c r="E863" s="89"/>
      <c r="F863" s="89"/>
      <c r="G863" s="89"/>
      <c r="H863" s="89"/>
      <c r="I863" s="90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  <c r="AE863" s="89"/>
      <c r="AF863" s="89"/>
      <c r="AG863" s="89"/>
      <c r="AH863" s="89"/>
      <c r="AI863" s="89"/>
      <c r="AJ863" s="89"/>
      <c r="AK863" s="89"/>
    </row>
    <row r="864" customFormat="false" ht="15.75" hidden="false" customHeight="true" outlineLevel="0" collapsed="false">
      <c r="A864" s="76"/>
      <c r="B864" s="76"/>
      <c r="C864" s="88"/>
      <c r="D864" s="89"/>
      <c r="E864" s="89"/>
      <c r="F864" s="89"/>
      <c r="G864" s="89"/>
      <c r="H864" s="89"/>
      <c r="I864" s="90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</row>
    <row r="865" customFormat="false" ht="15.75" hidden="false" customHeight="true" outlineLevel="0" collapsed="false">
      <c r="A865" s="76"/>
      <c r="B865" s="76"/>
      <c r="C865" s="88"/>
      <c r="D865" s="89"/>
      <c r="E865" s="89"/>
      <c r="F865" s="89"/>
      <c r="G865" s="89"/>
      <c r="H865" s="89"/>
      <c r="I865" s="90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</row>
    <row r="866" customFormat="false" ht="15.75" hidden="false" customHeight="true" outlineLevel="0" collapsed="false">
      <c r="A866" s="76"/>
      <c r="B866" s="76"/>
      <c r="C866" s="88"/>
      <c r="D866" s="89"/>
      <c r="E866" s="89"/>
      <c r="F866" s="89"/>
      <c r="G866" s="89"/>
      <c r="H866" s="89"/>
      <c r="I866" s="90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  <c r="AE866" s="89"/>
      <c r="AF866" s="89"/>
      <c r="AG866" s="89"/>
      <c r="AH866" s="89"/>
      <c r="AI866" s="89"/>
      <c r="AJ866" s="89"/>
      <c r="AK866" s="89"/>
    </row>
    <row r="867" customFormat="false" ht="15.75" hidden="false" customHeight="true" outlineLevel="0" collapsed="false">
      <c r="A867" s="76"/>
      <c r="B867" s="76"/>
      <c r="C867" s="88"/>
      <c r="D867" s="89"/>
      <c r="E867" s="89"/>
      <c r="F867" s="89"/>
      <c r="G867" s="89"/>
      <c r="H867" s="89"/>
      <c r="I867" s="90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  <c r="AE867" s="89"/>
      <c r="AF867" s="89"/>
      <c r="AG867" s="89"/>
      <c r="AH867" s="89"/>
      <c r="AI867" s="89"/>
      <c r="AJ867" s="89"/>
      <c r="AK867" s="89"/>
    </row>
    <row r="868" customFormat="false" ht="15.75" hidden="false" customHeight="true" outlineLevel="0" collapsed="false">
      <c r="A868" s="76"/>
      <c r="B868" s="76"/>
      <c r="C868" s="88"/>
      <c r="D868" s="89"/>
      <c r="E868" s="89"/>
      <c r="F868" s="89"/>
      <c r="G868" s="89"/>
      <c r="H868" s="89"/>
      <c r="I868" s="90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</row>
    <row r="869" customFormat="false" ht="15.75" hidden="false" customHeight="true" outlineLevel="0" collapsed="false">
      <c r="A869" s="76"/>
      <c r="B869" s="76"/>
      <c r="C869" s="88"/>
      <c r="D869" s="89"/>
      <c r="E869" s="89"/>
      <c r="F869" s="89"/>
      <c r="G869" s="89"/>
      <c r="H869" s="89"/>
      <c r="I869" s="90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  <c r="AE869" s="89"/>
      <c r="AF869" s="89"/>
      <c r="AG869" s="89"/>
      <c r="AH869" s="89"/>
      <c r="AI869" s="89"/>
      <c r="AJ869" s="89"/>
      <c r="AK869" s="89"/>
    </row>
    <row r="870" customFormat="false" ht="15.75" hidden="false" customHeight="true" outlineLevel="0" collapsed="false">
      <c r="A870" s="76"/>
      <c r="B870" s="76"/>
      <c r="C870" s="88"/>
      <c r="D870" s="89"/>
      <c r="E870" s="89"/>
      <c r="F870" s="89"/>
      <c r="G870" s="89"/>
      <c r="H870" s="89"/>
      <c r="I870" s="90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  <c r="AE870" s="89"/>
      <c r="AF870" s="89"/>
      <c r="AG870" s="89"/>
      <c r="AH870" s="89"/>
      <c r="AI870" s="89"/>
      <c r="AJ870" s="89"/>
      <c r="AK870" s="89"/>
    </row>
    <row r="871" customFormat="false" ht="15.75" hidden="false" customHeight="true" outlineLevel="0" collapsed="false">
      <c r="A871" s="76"/>
      <c r="B871" s="76"/>
      <c r="C871" s="88"/>
      <c r="D871" s="89"/>
      <c r="E871" s="89"/>
      <c r="F871" s="89"/>
      <c r="G871" s="89"/>
      <c r="H871" s="89"/>
      <c r="I871" s="90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  <c r="AE871" s="89"/>
      <c r="AF871" s="89"/>
      <c r="AG871" s="89"/>
      <c r="AH871" s="89"/>
      <c r="AI871" s="89"/>
      <c r="AJ871" s="89"/>
      <c r="AK871" s="89"/>
    </row>
    <row r="872" customFormat="false" ht="15.75" hidden="false" customHeight="true" outlineLevel="0" collapsed="false">
      <c r="A872" s="76"/>
      <c r="B872" s="76"/>
      <c r="C872" s="88"/>
      <c r="D872" s="89"/>
      <c r="E872" s="89"/>
      <c r="F872" s="89"/>
      <c r="G872" s="89"/>
      <c r="H872" s="89"/>
      <c r="I872" s="90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  <c r="AE872" s="89"/>
      <c r="AF872" s="89"/>
      <c r="AG872" s="89"/>
      <c r="AH872" s="89"/>
      <c r="AI872" s="89"/>
      <c r="AJ872" s="89"/>
      <c r="AK872" s="89"/>
    </row>
    <row r="873" customFormat="false" ht="15.75" hidden="false" customHeight="true" outlineLevel="0" collapsed="false">
      <c r="A873" s="76"/>
      <c r="B873" s="76"/>
      <c r="C873" s="88"/>
      <c r="D873" s="89"/>
      <c r="E873" s="89"/>
      <c r="F873" s="89"/>
      <c r="G873" s="89"/>
      <c r="H873" s="89"/>
      <c r="I873" s="90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  <c r="AE873" s="89"/>
      <c r="AF873" s="89"/>
      <c r="AG873" s="89"/>
      <c r="AH873" s="89"/>
      <c r="AI873" s="89"/>
      <c r="AJ873" s="89"/>
      <c r="AK873" s="89"/>
    </row>
    <row r="874" customFormat="false" ht="15.75" hidden="false" customHeight="true" outlineLevel="0" collapsed="false">
      <c r="A874" s="76"/>
      <c r="B874" s="76"/>
      <c r="C874" s="88"/>
      <c r="D874" s="89"/>
      <c r="E874" s="89"/>
      <c r="F874" s="89"/>
      <c r="G874" s="89"/>
      <c r="H874" s="89"/>
      <c r="I874" s="90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  <c r="AE874" s="89"/>
      <c r="AF874" s="89"/>
      <c r="AG874" s="89"/>
      <c r="AH874" s="89"/>
      <c r="AI874" s="89"/>
      <c r="AJ874" s="89"/>
      <c r="AK874" s="89"/>
    </row>
    <row r="875" customFormat="false" ht="15.75" hidden="false" customHeight="true" outlineLevel="0" collapsed="false">
      <c r="A875" s="76"/>
      <c r="B875" s="76"/>
      <c r="C875" s="88"/>
      <c r="D875" s="89"/>
      <c r="E875" s="89"/>
      <c r="F875" s="89"/>
      <c r="G875" s="89"/>
      <c r="H875" s="89"/>
      <c r="I875" s="90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  <c r="AE875" s="89"/>
      <c r="AF875" s="89"/>
      <c r="AG875" s="89"/>
      <c r="AH875" s="89"/>
      <c r="AI875" s="89"/>
      <c r="AJ875" s="89"/>
      <c r="AK875" s="89"/>
    </row>
    <row r="876" customFormat="false" ht="15.75" hidden="false" customHeight="true" outlineLevel="0" collapsed="false">
      <c r="A876" s="76"/>
      <c r="B876" s="76"/>
      <c r="C876" s="88"/>
      <c r="D876" s="89"/>
      <c r="E876" s="89"/>
      <c r="F876" s="89"/>
      <c r="G876" s="89"/>
      <c r="H876" s="89"/>
      <c r="I876" s="90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  <c r="AE876" s="89"/>
      <c r="AF876" s="89"/>
      <c r="AG876" s="89"/>
      <c r="AH876" s="89"/>
      <c r="AI876" s="89"/>
      <c r="AJ876" s="89"/>
      <c r="AK876" s="89"/>
    </row>
    <row r="877" customFormat="false" ht="15.75" hidden="false" customHeight="true" outlineLevel="0" collapsed="false">
      <c r="A877" s="76"/>
      <c r="B877" s="76"/>
      <c r="C877" s="88"/>
      <c r="D877" s="89"/>
      <c r="E877" s="89"/>
      <c r="F877" s="89"/>
      <c r="G877" s="89"/>
      <c r="H877" s="89"/>
      <c r="I877" s="90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  <c r="AE877" s="89"/>
      <c r="AF877" s="89"/>
      <c r="AG877" s="89"/>
      <c r="AH877" s="89"/>
      <c r="AI877" s="89"/>
      <c r="AJ877" s="89"/>
      <c r="AK877" s="89"/>
    </row>
    <row r="878" customFormat="false" ht="15.75" hidden="false" customHeight="true" outlineLevel="0" collapsed="false">
      <c r="A878" s="76"/>
      <c r="B878" s="76"/>
      <c r="C878" s="88"/>
      <c r="D878" s="89"/>
      <c r="E878" s="89"/>
      <c r="F878" s="89"/>
      <c r="G878" s="89"/>
      <c r="H878" s="89"/>
      <c r="I878" s="90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  <c r="AD878" s="89"/>
      <c r="AE878" s="89"/>
      <c r="AF878" s="89"/>
      <c r="AG878" s="89"/>
      <c r="AH878" s="89"/>
      <c r="AI878" s="89"/>
      <c r="AJ878" s="89"/>
      <c r="AK878" s="89"/>
    </row>
    <row r="879" customFormat="false" ht="15.75" hidden="false" customHeight="true" outlineLevel="0" collapsed="false">
      <c r="A879" s="76"/>
      <c r="B879" s="76"/>
      <c r="C879" s="88"/>
      <c r="D879" s="89"/>
      <c r="E879" s="89"/>
      <c r="F879" s="89"/>
      <c r="G879" s="89"/>
      <c r="H879" s="89"/>
      <c r="I879" s="90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  <c r="AE879" s="89"/>
      <c r="AF879" s="89"/>
      <c r="AG879" s="89"/>
      <c r="AH879" s="89"/>
      <c r="AI879" s="89"/>
      <c r="AJ879" s="89"/>
      <c r="AK879" s="89"/>
    </row>
    <row r="880" customFormat="false" ht="15.75" hidden="false" customHeight="true" outlineLevel="0" collapsed="false">
      <c r="A880" s="76"/>
      <c r="B880" s="76"/>
      <c r="C880" s="88"/>
      <c r="D880" s="89"/>
      <c r="E880" s="89"/>
      <c r="F880" s="89"/>
      <c r="G880" s="89"/>
      <c r="H880" s="89"/>
      <c r="I880" s="90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  <c r="AD880" s="89"/>
      <c r="AE880" s="89"/>
      <c r="AF880" s="89"/>
      <c r="AG880" s="89"/>
      <c r="AH880" s="89"/>
      <c r="AI880" s="89"/>
      <c r="AJ880" s="89"/>
      <c r="AK880" s="89"/>
    </row>
    <row r="881" customFormat="false" ht="15.75" hidden="false" customHeight="true" outlineLevel="0" collapsed="false">
      <c r="A881" s="76"/>
      <c r="B881" s="76"/>
      <c r="C881" s="88"/>
      <c r="D881" s="89"/>
      <c r="E881" s="89"/>
      <c r="F881" s="89"/>
      <c r="G881" s="89"/>
      <c r="H881" s="89"/>
      <c r="I881" s="90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  <c r="AE881" s="89"/>
      <c r="AF881" s="89"/>
      <c r="AG881" s="89"/>
      <c r="AH881" s="89"/>
      <c r="AI881" s="89"/>
      <c r="AJ881" s="89"/>
      <c r="AK881" s="89"/>
    </row>
    <row r="882" customFormat="false" ht="15.75" hidden="false" customHeight="true" outlineLevel="0" collapsed="false">
      <c r="A882" s="76"/>
      <c r="B882" s="76"/>
      <c r="C882" s="88"/>
      <c r="D882" s="89"/>
      <c r="E882" s="89"/>
      <c r="F882" s="89"/>
      <c r="G882" s="89"/>
      <c r="H882" s="89"/>
      <c r="I882" s="90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  <c r="AD882" s="89"/>
      <c r="AE882" s="89"/>
      <c r="AF882" s="89"/>
      <c r="AG882" s="89"/>
      <c r="AH882" s="89"/>
      <c r="AI882" s="89"/>
      <c r="AJ882" s="89"/>
      <c r="AK882" s="89"/>
    </row>
    <row r="883" customFormat="false" ht="15.75" hidden="false" customHeight="true" outlineLevel="0" collapsed="false">
      <c r="A883" s="76"/>
      <c r="B883" s="76"/>
      <c r="C883" s="88"/>
      <c r="D883" s="89"/>
      <c r="E883" s="89"/>
      <c r="F883" s="89"/>
      <c r="G883" s="89"/>
      <c r="H883" s="89"/>
      <c r="I883" s="90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  <c r="AE883" s="89"/>
      <c r="AF883" s="89"/>
      <c r="AG883" s="89"/>
      <c r="AH883" s="89"/>
      <c r="AI883" s="89"/>
      <c r="AJ883" s="89"/>
      <c r="AK883" s="89"/>
    </row>
    <row r="884" customFormat="false" ht="15.75" hidden="false" customHeight="true" outlineLevel="0" collapsed="false">
      <c r="A884" s="76"/>
      <c r="B884" s="76"/>
      <c r="C884" s="88"/>
      <c r="D884" s="89"/>
      <c r="E884" s="89"/>
      <c r="F884" s="89"/>
      <c r="G884" s="89"/>
      <c r="H884" s="89"/>
      <c r="I884" s="90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  <c r="AD884" s="89"/>
      <c r="AE884" s="89"/>
      <c r="AF884" s="89"/>
      <c r="AG884" s="89"/>
      <c r="AH884" s="89"/>
      <c r="AI884" s="89"/>
      <c r="AJ884" s="89"/>
      <c r="AK884" s="89"/>
    </row>
    <row r="885" customFormat="false" ht="15.75" hidden="false" customHeight="true" outlineLevel="0" collapsed="false">
      <c r="A885" s="76"/>
      <c r="B885" s="76"/>
      <c r="C885" s="88"/>
      <c r="D885" s="89"/>
      <c r="E885" s="89"/>
      <c r="F885" s="89"/>
      <c r="G885" s="89"/>
      <c r="H885" s="89"/>
      <c r="I885" s="90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  <c r="AE885" s="89"/>
      <c r="AF885" s="89"/>
      <c r="AG885" s="89"/>
      <c r="AH885" s="89"/>
      <c r="AI885" s="89"/>
      <c r="AJ885" s="89"/>
      <c r="AK885" s="89"/>
    </row>
    <row r="886" customFormat="false" ht="15.75" hidden="false" customHeight="true" outlineLevel="0" collapsed="false">
      <c r="A886" s="76"/>
      <c r="B886" s="76"/>
      <c r="C886" s="88"/>
      <c r="D886" s="89"/>
      <c r="E886" s="89"/>
      <c r="F886" s="89"/>
      <c r="G886" s="89"/>
      <c r="H886" s="89"/>
      <c r="I886" s="90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  <c r="AE886" s="89"/>
      <c r="AF886" s="89"/>
      <c r="AG886" s="89"/>
      <c r="AH886" s="89"/>
      <c r="AI886" s="89"/>
      <c r="AJ886" s="89"/>
      <c r="AK886" s="89"/>
    </row>
    <row r="887" customFormat="false" ht="15.75" hidden="false" customHeight="true" outlineLevel="0" collapsed="false">
      <c r="A887" s="76"/>
      <c r="B887" s="76"/>
      <c r="C887" s="88"/>
      <c r="D887" s="89"/>
      <c r="E887" s="89"/>
      <c r="F887" s="89"/>
      <c r="G887" s="89"/>
      <c r="H887" s="89"/>
      <c r="I887" s="90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  <c r="AE887" s="89"/>
      <c r="AF887" s="89"/>
      <c r="AG887" s="89"/>
      <c r="AH887" s="89"/>
      <c r="AI887" s="89"/>
      <c r="AJ887" s="89"/>
      <c r="AK887" s="89"/>
    </row>
    <row r="888" customFormat="false" ht="15.75" hidden="false" customHeight="true" outlineLevel="0" collapsed="false">
      <c r="A888" s="76"/>
      <c r="B888" s="76"/>
      <c r="C888" s="88"/>
      <c r="D888" s="89"/>
      <c r="E888" s="89"/>
      <c r="F888" s="89"/>
      <c r="G888" s="89"/>
      <c r="H888" s="89"/>
      <c r="I888" s="90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  <c r="AE888" s="89"/>
      <c r="AF888" s="89"/>
      <c r="AG888" s="89"/>
      <c r="AH888" s="89"/>
      <c r="AI888" s="89"/>
      <c r="AJ888" s="89"/>
      <c r="AK888" s="89"/>
    </row>
    <row r="889" customFormat="false" ht="15.75" hidden="false" customHeight="true" outlineLevel="0" collapsed="false">
      <c r="A889" s="76"/>
      <c r="B889" s="76"/>
      <c r="C889" s="88"/>
      <c r="D889" s="89"/>
      <c r="E889" s="89"/>
      <c r="F889" s="89"/>
      <c r="G889" s="89"/>
      <c r="H889" s="89"/>
      <c r="I889" s="90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  <c r="AE889" s="89"/>
      <c r="AF889" s="89"/>
      <c r="AG889" s="89"/>
      <c r="AH889" s="89"/>
      <c r="AI889" s="89"/>
      <c r="AJ889" s="89"/>
      <c r="AK889" s="89"/>
    </row>
    <row r="890" customFormat="false" ht="15.75" hidden="false" customHeight="true" outlineLevel="0" collapsed="false">
      <c r="A890" s="76"/>
      <c r="B890" s="76"/>
      <c r="C890" s="88"/>
      <c r="D890" s="89"/>
      <c r="E890" s="89"/>
      <c r="F890" s="89"/>
      <c r="G890" s="89"/>
      <c r="H890" s="89"/>
      <c r="I890" s="90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  <c r="AE890" s="89"/>
      <c r="AF890" s="89"/>
      <c r="AG890" s="89"/>
      <c r="AH890" s="89"/>
      <c r="AI890" s="89"/>
      <c r="AJ890" s="89"/>
      <c r="AK890" s="89"/>
    </row>
    <row r="891" customFormat="false" ht="15.75" hidden="false" customHeight="true" outlineLevel="0" collapsed="false">
      <c r="A891" s="76"/>
      <c r="B891" s="76"/>
      <c r="C891" s="88"/>
      <c r="D891" s="89"/>
      <c r="E891" s="89"/>
      <c r="F891" s="89"/>
      <c r="G891" s="89"/>
      <c r="H891" s="89"/>
      <c r="I891" s="90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  <c r="AE891" s="89"/>
      <c r="AF891" s="89"/>
      <c r="AG891" s="89"/>
      <c r="AH891" s="89"/>
      <c r="AI891" s="89"/>
      <c r="AJ891" s="89"/>
      <c r="AK891" s="89"/>
    </row>
    <row r="892" customFormat="false" ht="15.75" hidden="false" customHeight="true" outlineLevel="0" collapsed="false">
      <c r="A892" s="76"/>
      <c r="B892" s="76"/>
      <c r="C892" s="88"/>
      <c r="D892" s="89"/>
      <c r="E892" s="89"/>
      <c r="F892" s="89"/>
      <c r="G892" s="89"/>
      <c r="H892" s="89"/>
      <c r="I892" s="90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  <c r="AE892" s="89"/>
      <c r="AF892" s="89"/>
      <c r="AG892" s="89"/>
      <c r="AH892" s="89"/>
      <c r="AI892" s="89"/>
      <c r="AJ892" s="89"/>
      <c r="AK892" s="89"/>
    </row>
    <row r="893" customFormat="false" ht="15.75" hidden="false" customHeight="true" outlineLevel="0" collapsed="false">
      <c r="A893" s="76"/>
      <c r="B893" s="76"/>
      <c r="C893" s="88"/>
      <c r="D893" s="89"/>
      <c r="E893" s="89"/>
      <c r="F893" s="89"/>
      <c r="G893" s="89"/>
      <c r="H893" s="89"/>
      <c r="I893" s="90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  <c r="AE893" s="89"/>
      <c r="AF893" s="89"/>
      <c r="AG893" s="89"/>
      <c r="AH893" s="89"/>
      <c r="AI893" s="89"/>
      <c r="AJ893" s="89"/>
      <c r="AK893" s="89"/>
    </row>
    <row r="894" customFormat="false" ht="15.75" hidden="false" customHeight="true" outlineLevel="0" collapsed="false">
      <c r="A894" s="76"/>
      <c r="B894" s="76"/>
      <c r="C894" s="88"/>
      <c r="D894" s="89"/>
      <c r="E894" s="89"/>
      <c r="F894" s="89"/>
      <c r="G894" s="89"/>
      <c r="H894" s="89"/>
      <c r="I894" s="90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  <c r="AE894" s="89"/>
      <c r="AF894" s="89"/>
      <c r="AG894" s="89"/>
      <c r="AH894" s="89"/>
      <c r="AI894" s="89"/>
      <c r="AJ894" s="89"/>
      <c r="AK894" s="89"/>
    </row>
    <row r="895" customFormat="false" ht="15.75" hidden="false" customHeight="true" outlineLevel="0" collapsed="false">
      <c r="A895" s="76"/>
      <c r="B895" s="76"/>
      <c r="C895" s="88"/>
      <c r="D895" s="89"/>
      <c r="E895" s="89"/>
      <c r="F895" s="89"/>
      <c r="G895" s="89"/>
      <c r="H895" s="89"/>
      <c r="I895" s="90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  <c r="AE895" s="89"/>
      <c r="AF895" s="89"/>
      <c r="AG895" s="89"/>
      <c r="AH895" s="89"/>
      <c r="AI895" s="89"/>
      <c r="AJ895" s="89"/>
      <c r="AK895" s="89"/>
    </row>
    <row r="896" customFormat="false" ht="15.75" hidden="false" customHeight="true" outlineLevel="0" collapsed="false">
      <c r="A896" s="76"/>
      <c r="B896" s="76"/>
      <c r="C896" s="88"/>
      <c r="D896" s="89"/>
      <c r="E896" s="89"/>
      <c r="F896" s="89"/>
      <c r="G896" s="89"/>
      <c r="H896" s="89"/>
      <c r="I896" s="90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  <c r="AE896" s="89"/>
      <c r="AF896" s="89"/>
      <c r="AG896" s="89"/>
      <c r="AH896" s="89"/>
      <c r="AI896" s="89"/>
      <c r="AJ896" s="89"/>
      <c r="AK896" s="89"/>
    </row>
    <row r="897" customFormat="false" ht="15.75" hidden="false" customHeight="true" outlineLevel="0" collapsed="false">
      <c r="A897" s="76"/>
      <c r="B897" s="76"/>
      <c r="C897" s="88"/>
      <c r="D897" s="89"/>
      <c r="E897" s="89"/>
      <c r="F897" s="89"/>
      <c r="G897" s="89"/>
      <c r="H897" s="89"/>
      <c r="I897" s="90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  <c r="AE897" s="89"/>
      <c r="AF897" s="89"/>
      <c r="AG897" s="89"/>
      <c r="AH897" s="89"/>
      <c r="AI897" s="89"/>
      <c r="AJ897" s="89"/>
      <c r="AK897" s="89"/>
    </row>
    <row r="898" customFormat="false" ht="15.75" hidden="false" customHeight="true" outlineLevel="0" collapsed="false">
      <c r="A898" s="76"/>
      <c r="B898" s="76"/>
      <c r="C898" s="88"/>
      <c r="D898" s="89"/>
      <c r="E898" s="89"/>
      <c r="F898" s="89"/>
      <c r="G898" s="89"/>
      <c r="H898" s="89"/>
      <c r="I898" s="90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  <c r="AE898" s="89"/>
      <c r="AF898" s="89"/>
      <c r="AG898" s="89"/>
      <c r="AH898" s="89"/>
      <c r="AI898" s="89"/>
      <c r="AJ898" s="89"/>
      <c r="AK898" s="89"/>
    </row>
    <row r="899" customFormat="false" ht="15.75" hidden="false" customHeight="true" outlineLevel="0" collapsed="false">
      <c r="A899" s="76"/>
      <c r="B899" s="76"/>
      <c r="C899" s="88"/>
      <c r="D899" s="89"/>
      <c r="E899" s="89"/>
      <c r="F899" s="89"/>
      <c r="G899" s="89"/>
      <c r="H899" s="89"/>
      <c r="I899" s="90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  <c r="AE899" s="89"/>
      <c r="AF899" s="89"/>
      <c r="AG899" s="89"/>
      <c r="AH899" s="89"/>
      <c r="AI899" s="89"/>
      <c r="AJ899" s="89"/>
      <c r="AK899" s="89"/>
    </row>
    <row r="900" customFormat="false" ht="15.75" hidden="false" customHeight="true" outlineLevel="0" collapsed="false">
      <c r="A900" s="76"/>
      <c r="B900" s="76"/>
      <c r="C900" s="88"/>
      <c r="D900" s="89"/>
      <c r="E900" s="89"/>
      <c r="F900" s="89"/>
      <c r="G900" s="89"/>
      <c r="H900" s="89"/>
      <c r="I900" s="90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  <c r="AE900" s="89"/>
      <c r="AF900" s="89"/>
      <c r="AG900" s="89"/>
      <c r="AH900" s="89"/>
      <c r="AI900" s="89"/>
      <c r="AJ900" s="89"/>
      <c r="AK900" s="89"/>
    </row>
    <row r="901" customFormat="false" ht="15.75" hidden="false" customHeight="true" outlineLevel="0" collapsed="false">
      <c r="A901" s="76"/>
      <c r="B901" s="76"/>
      <c r="C901" s="88"/>
      <c r="D901" s="89"/>
      <c r="E901" s="89"/>
      <c r="F901" s="89"/>
      <c r="G901" s="89"/>
      <c r="H901" s="89"/>
      <c r="I901" s="90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  <c r="AD901" s="89"/>
      <c r="AE901" s="89"/>
      <c r="AF901" s="89"/>
      <c r="AG901" s="89"/>
      <c r="AH901" s="89"/>
      <c r="AI901" s="89"/>
      <c r="AJ901" s="89"/>
      <c r="AK901" s="89"/>
    </row>
    <row r="902" customFormat="false" ht="15.75" hidden="false" customHeight="true" outlineLevel="0" collapsed="false">
      <c r="A902" s="76"/>
      <c r="B902" s="76"/>
      <c r="C902" s="88"/>
      <c r="D902" s="89"/>
      <c r="E902" s="89"/>
      <c r="F902" s="89"/>
      <c r="G902" s="89"/>
      <c r="H902" s="89"/>
      <c r="I902" s="90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  <c r="AD902" s="89"/>
      <c r="AE902" s="89"/>
      <c r="AF902" s="89"/>
      <c r="AG902" s="89"/>
      <c r="AH902" s="89"/>
      <c r="AI902" s="89"/>
      <c r="AJ902" s="89"/>
      <c r="AK902" s="89"/>
    </row>
    <row r="903" customFormat="false" ht="15.75" hidden="false" customHeight="true" outlineLevel="0" collapsed="false">
      <c r="A903" s="76"/>
      <c r="B903" s="76"/>
      <c r="C903" s="88"/>
      <c r="D903" s="89"/>
      <c r="E903" s="89"/>
      <c r="F903" s="89"/>
      <c r="G903" s="89"/>
      <c r="H903" s="89"/>
      <c r="I903" s="90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  <c r="AD903" s="89"/>
      <c r="AE903" s="89"/>
      <c r="AF903" s="89"/>
      <c r="AG903" s="89"/>
      <c r="AH903" s="89"/>
      <c r="AI903" s="89"/>
      <c r="AJ903" s="89"/>
      <c r="AK903" s="89"/>
    </row>
    <row r="904" customFormat="false" ht="15.75" hidden="false" customHeight="true" outlineLevel="0" collapsed="false">
      <c r="A904" s="76"/>
      <c r="B904" s="76"/>
      <c r="C904" s="88"/>
      <c r="D904" s="89"/>
      <c r="E904" s="89"/>
      <c r="F904" s="89"/>
      <c r="G904" s="89"/>
      <c r="H904" s="89"/>
      <c r="I904" s="90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  <c r="AD904" s="89"/>
      <c r="AE904" s="89"/>
      <c r="AF904" s="89"/>
      <c r="AG904" s="89"/>
      <c r="AH904" s="89"/>
      <c r="AI904" s="89"/>
      <c r="AJ904" s="89"/>
      <c r="AK904" s="89"/>
    </row>
    <row r="905" customFormat="false" ht="15.75" hidden="false" customHeight="true" outlineLevel="0" collapsed="false">
      <c r="A905" s="76"/>
      <c r="B905" s="76"/>
      <c r="C905" s="88"/>
      <c r="D905" s="89"/>
      <c r="E905" s="89"/>
      <c r="F905" s="89"/>
      <c r="G905" s="89"/>
      <c r="H905" s="89"/>
      <c r="I905" s="90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  <c r="AD905" s="89"/>
      <c r="AE905" s="89"/>
      <c r="AF905" s="89"/>
      <c r="AG905" s="89"/>
      <c r="AH905" s="89"/>
      <c r="AI905" s="89"/>
      <c r="AJ905" s="89"/>
      <c r="AK905" s="89"/>
    </row>
    <row r="906" customFormat="false" ht="15.75" hidden="false" customHeight="true" outlineLevel="0" collapsed="false">
      <c r="A906" s="76"/>
      <c r="B906" s="76"/>
      <c r="C906" s="88"/>
      <c r="D906" s="89"/>
      <c r="E906" s="89"/>
      <c r="F906" s="89"/>
      <c r="G906" s="89"/>
      <c r="H906" s="89"/>
      <c r="I906" s="90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  <c r="AD906" s="89"/>
      <c r="AE906" s="89"/>
      <c r="AF906" s="89"/>
      <c r="AG906" s="89"/>
      <c r="AH906" s="89"/>
      <c r="AI906" s="89"/>
      <c r="AJ906" s="89"/>
      <c r="AK906" s="89"/>
    </row>
    <row r="907" customFormat="false" ht="15.75" hidden="false" customHeight="true" outlineLevel="0" collapsed="false">
      <c r="A907" s="76"/>
      <c r="B907" s="76"/>
      <c r="C907" s="88"/>
      <c r="D907" s="89"/>
      <c r="E907" s="89"/>
      <c r="F907" s="89"/>
      <c r="G907" s="89"/>
      <c r="H907" s="89"/>
      <c r="I907" s="90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  <c r="AD907" s="89"/>
      <c r="AE907" s="89"/>
      <c r="AF907" s="89"/>
      <c r="AG907" s="89"/>
      <c r="AH907" s="89"/>
      <c r="AI907" s="89"/>
      <c r="AJ907" s="89"/>
      <c r="AK907" s="89"/>
    </row>
    <row r="908" customFormat="false" ht="15.75" hidden="false" customHeight="true" outlineLevel="0" collapsed="false">
      <c r="A908" s="76"/>
      <c r="B908" s="76"/>
      <c r="C908" s="88"/>
      <c r="D908" s="89"/>
      <c r="E908" s="89"/>
      <c r="F908" s="89"/>
      <c r="G908" s="89"/>
      <c r="H908" s="89"/>
      <c r="I908" s="90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  <c r="AD908" s="89"/>
      <c r="AE908" s="89"/>
      <c r="AF908" s="89"/>
      <c r="AG908" s="89"/>
      <c r="AH908" s="89"/>
      <c r="AI908" s="89"/>
      <c r="AJ908" s="89"/>
      <c r="AK908" s="89"/>
    </row>
    <row r="909" customFormat="false" ht="15.75" hidden="false" customHeight="true" outlineLevel="0" collapsed="false">
      <c r="A909" s="76"/>
      <c r="B909" s="76"/>
      <c r="C909" s="88"/>
      <c r="D909" s="89"/>
      <c r="E909" s="89"/>
      <c r="F909" s="89"/>
      <c r="G909" s="89"/>
      <c r="H909" s="89"/>
      <c r="I909" s="90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  <c r="AD909" s="89"/>
      <c r="AE909" s="89"/>
      <c r="AF909" s="89"/>
      <c r="AG909" s="89"/>
      <c r="AH909" s="89"/>
      <c r="AI909" s="89"/>
      <c r="AJ909" s="89"/>
      <c r="AK909" s="89"/>
    </row>
    <row r="910" customFormat="false" ht="15.75" hidden="false" customHeight="true" outlineLevel="0" collapsed="false">
      <c r="A910" s="76"/>
      <c r="B910" s="76"/>
      <c r="C910" s="88"/>
      <c r="D910" s="89"/>
      <c r="E910" s="89"/>
      <c r="F910" s="89"/>
      <c r="G910" s="89"/>
      <c r="H910" s="89"/>
      <c r="I910" s="90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  <c r="AD910" s="89"/>
      <c r="AE910" s="89"/>
      <c r="AF910" s="89"/>
      <c r="AG910" s="89"/>
      <c r="AH910" s="89"/>
      <c r="AI910" s="89"/>
      <c r="AJ910" s="89"/>
      <c r="AK910" s="89"/>
    </row>
    <row r="911" customFormat="false" ht="15.75" hidden="false" customHeight="true" outlineLevel="0" collapsed="false">
      <c r="A911" s="76"/>
      <c r="B911" s="76"/>
      <c r="C911" s="88"/>
      <c r="D911" s="89"/>
      <c r="E911" s="89"/>
      <c r="F911" s="89"/>
      <c r="G911" s="89"/>
      <c r="H911" s="89"/>
      <c r="I911" s="90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  <c r="AD911" s="89"/>
      <c r="AE911" s="89"/>
      <c r="AF911" s="89"/>
      <c r="AG911" s="89"/>
      <c r="AH911" s="89"/>
      <c r="AI911" s="89"/>
      <c r="AJ911" s="89"/>
      <c r="AK911" s="89"/>
    </row>
    <row r="912" customFormat="false" ht="15.75" hidden="false" customHeight="true" outlineLevel="0" collapsed="false">
      <c r="A912" s="76"/>
      <c r="B912" s="76"/>
      <c r="C912" s="88"/>
      <c r="D912" s="89"/>
      <c r="E912" s="89"/>
      <c r="F912" s="89"/>
      <c r="G912" s="89"/>
      <c r="H912" s="89"/>
      <c r="I912" s="90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  <c r="AD912" s="89"/>
      <c r="AE912" s="89"/>
      <c r="AF912" s="89"/>
      <c r="AG912" s="89"/>
      <c r="AH912" s="89"/>
      <c r="AI912" s="89"/>
      <c r="AJ912" s="89"/>
      <c r="AK912" s="89"/>
    </row>
    <row r="913" customFormat="false" ht="15.75" hidden="false" customHeight="true" outlineLevel="0" collapsed="false">
      <c r="A913" s="76"/>
      <c r="B913" s="76"/>
      <c r="C913" s="88"/>
      <c r="D913" s="89"/>
      <c r="E913" s="89"/>
      <c r="F913" s="89"/>
      <c r="G913" s="89"/>
      <c r="H913" s="89"/>
      <c r="I913" s="90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</row>
    <row r="914" customFormat="false" ht="15.75" hidden="false" customHeight="true" outlineLevel="0" collapsed="false">
      <c r="A914" s="76"/>
      <c r="B914" s="76"/>
      <c r="C914" s="88"/>
      <c r="D914" s="89"/>
      <c r="E914" s="89"/>
      <c r="F914" s="89"/>
      <c r="G914" s="89"/>
      <c r="H914" s="89"/>
      <c r="I914" s="90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  <c r="AD914" s="89"/>
      <c r="AE914" s="89"/>
      <c r="AF914" s="89"/>
      <c r="AG914" s="89"/>
      <c r="AH914" s="89"/>
      <c r="AI914" s="89"/>
      <c r="AJ914" s="89"/>
      <c r="AK914" s="89"/>
    </row>
    <row r="915" customFormat="false" ht="15.75" hidden="false" customHeight="true" outlineLevel="0" collapsed="false">
      <c r="A915" s="76"/>
      <c r="B915" s="76"/>
      <c r="C915" s="88"/>
      <c r="D915" s="89"/>
      <c r="E915" s="89"/>
      <c r="F915" s="89"/>
      <c r="G915" s="89"/>
      <c r="H915" s="89"/>
      <c r="I915" s="90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  <c r="AD915" s="89"/>
      <c r="AE915" s="89"/>
      <c r="AF915" s="89"/>
      <c r="AG915" s="89"/>
      <c r="AH915" s="89"/>
      <c r="AI915" s="89"/>
      <c r="AJ915" s="89"/>
      <c r="AK915" s="89"/>
    </row>
    <row r="916" customFormat="false" ht="15.75" hidden="false" customHeight="true" outlineLevel="0" collapsed="false">
      <c r="A916" s="76"/>
      <c r="B916" s="76"/>
      <c r="C916" s="88"/>
      <c r="D916" s="89"/>
      <c r="E916" s="89"/>
      <c r="F916" s="89"/>
      <c r="G916" s="89"/>
      <c r="H916" s="89"/>
      <c r="I916" s="90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  <c r="AD916" s="89"/>
      <c r="AE916" s="89"/>
      <c r="AF916" s="89"/>
      <c r="AG916" s="89"/>
      <c r="AH916" s="89"/>
      <c r="AI916" s="89"/>
      <c r="AJ916" s="89"/>
      <c r="AK916" s="89"/>
    </row>
    <row r="917" customFormat="false" ht="15.75" hidden="false" customHeight="true" outlineLevel="0" collapsed="false">
      <c r="A917" s="76"/>
      <c r="B917" s="76"/>
      <c r="C917" s="88"/>
      <c r="D917" s="89"/>
      <c r="E917" s="89"/>
      <c r="F917" s="89"/>
      <c r="G917" s="89"/>
      <c r="H917" s="89"/>
      <c r="I917" s="90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  <c r="AD917" s="89"/>
      <c r="AE917" s="89"/>
      <c r="AF917" s="89"/>
      <c r="AG917" s="89"/>
      <c r="AH917" s="89"/>
      <c r="AI917" s="89"/>
      <c r="AJ917" s="89"/>
      <c r="AK917" s="89"/>
    </row>
    <row r="918" customFormat="false" ht="15.75" hidden="false" customHeight="true" outlineLevel="0" collapsed="false">
      <c r="A918" s="76"/>
      <c r="B918" s="76"/>
      <c r="C918" s="88"/>
      <c r="D918" s="89"/>
      <c r="E918" s="89"/>
      <c r="F918" s="89"/>
      <c r="G918" s="89"/>
      <c r="H918" s="89"/>
      <c r="I918" s="90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  <c r="AD918" s="89"/>
      <c r="AE918" s="89"/>
      <c r="AF918" s="89"/>
      <c r="AG918" s="89"/>
      <c r="AH918" s="89"/>
      <c r="AI918" s="89"/>
      <c r="AJ918" s="89"/>
      <c r="AK918" s="89"/>
    </row>
    <row r="919" customFormat="false" ht="15.75" hidden="false" customHeight="true" outlineLevel="0" collapsed="false">
      <c r="A919" s="76"/>
      <c r="B919" s="76"/>
      <c r="C919" s="88"/>
      <c r="D919" s="89"/>
      <c r="E919" s="89"/>
      <c r="F919" s="89"/>
      <c r="G919" s="89"/>
      <c r="H919" s="89"/>
      <c r="I919" s="90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  <c r="AD919" s="89"/>
      <c r="AE919" s="89"/>
      <c r="AF919" s="89"/>
      <c r="AG919" s="89"/>
      <c r="AH919" s="89"/>
      <c r="AI919" s="89"/>
      <c r="AJ919" s="89"/>
      <c r="AK919" s="89"/>
    </row>
    <row r="920" customFormat="false" ht="15.75" hidden="false" customHeight="true" outlineLevel="0" collapsed="false">
      <c r="A920" s="76"/>
      <c r="B920" s="76"/>
      <c r="C920" s="88"/>
      <c r="D920" s="89"/>
      <c r="E920" s="89"/>
      <c r="F920" s="89"/>
      <c r="G920" s="89"/>
      <c r="H920" s="89"/>
      <c r="I920" s="90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  <c r="AD920" s="89"/>
      <c r="AE920" s="89"/>
      <c r="AF920" s="89"/>
      <c r="AG920" s="89"/>
      <c r="AH920" s="89"/>
      <c r="AI920" s="89"/>
      <c r="AJ920" s="89"/>
      <c r="AK920" s="89"/>
    </row>
    <row r="921" customFormat="false" ht="15.75" hidden="false" customHeight="true" outlineLevel="0" collapsed="false">
      <c r="A921" s="76"/>
      <c r="B921" s="76"/>
      <c r="C921" s="88"/>
      <c r="D921" s="89"/>
      <c r="E921" s="89"/>
      <c r="F921" s="89"/>
      <c r="G921" s="89"/>
      <c r="H921" s="89"/>
      <c r="I921" s="90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  <c r="AD921" s="89"/>
      <c r="AE921" s="89"/>
      <c r="AF921" s="89"/>
      <c r="AG921" s="89"/>
      <c r="AH921" s="89"/>
      <c r="AI921" s="89"/>
      <c r="AJ921" s="89"/>
      <c r="AK921" s="89"/>
    </row>
    <row r="922" customFormat="false" ht="15.75" hidden="false" customHeight="true" outlineLevel="0" collapsed="false">
      <c r="A922" s="76"/>
      <c r="B922" s="76"/>
      <c r="C922" s="88"/>
      <c r="D922" s="89"/>
      <c r="E922" s="89"/>
      <c r="F922" s="89"/>
      <c r="G922" s="89"/>
      <c r="H922" s="89"/>
      <c r="I922" s="90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  <c r="AD922" s="89"/>
      <c r="AE922" s="89"/>
      <c r="AF922" s="89"/>
      <c r="AG922" s="89"/>
      <c r="AH922" s="89"/>
      <c r="AI922" s="89"/>
      <c r="AJ922" s="89"/>
      <c r="AK922" s="89"/>
    </row>
    <row r="923" customFormat="false" ht="15.75" hidden="false" customHeight="true" outlineLevel="0" collapsed="false">
      <c r="A923" s="76"/>
      <c r="B923" s="76"/>
      <c r="C923" s="88"/>
      <c r="D923" s="89"/>
      <c r="E923" s="89"/>
      <c r="F923" s="89"/>
      <c r="G923" s="89"/>
      <c r="H923" s="89"/>
      <c r="I923" s="90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  <c r="AD923" s="89"/>
      <c r="AE923" s="89"/>
      <c r="AF923" s="89"/>
      <c r="AG923" s="89"/>
      <c r="AH923" s="89"/>
      <c r="AI923" s="89"/>
      <c r="AJ923" s="89"/>
      <c r="AK923" s="89"/>
    </row>
    <row r="924" customFormat="false" ht="15.75" hidden="false" customHeight="true" outlineLevel="0" collapsed="false">
      <c r="A924" s="76"/>
      <c r="B924" s="76"/>
      <c r="C924" s="88"/>
      <c r="D924" s="89"/>
      <c r="E924" s="89"/>
      <c r="F924" s="89"/>
      <c r="G924" s="89"/>
      <c r="H924" s="89"/>
      <c r="I924" s="90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  <c r="AD924" s="89"/>
      <c r="AE924" s="89"/>
      <c r="AF924" s="89"/>
      <c r="AG924" s="89"/>
      <c r="AH924" s="89"/>
      <c r="AI924" s="89"/>
      <c r="AJ924" s="89"/>
      <c r="AK924" s="89"/>
    </row>
    <row r="925" customFormat="false" ht="15.75" hidden="false" customHeight="true" outlineLevel="0" collapsed="false">
      <c r="A925" s="76"/>
      <c r="B925" s="76"/>
      <c r="C925" s="88"/>
      <c r="D925" s="89"/>
      <c r="E925" s="89"/>
      <c r="F925" s="89"/>
      <c r="G925" s="89"/>
      <c r="H925" s="89"/>
      <c r="I925" s="90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  <c r="AD925" s="89"/>
      <c r="AE925" s="89"/>
      <c r="AF925" s="89"/>
      <c r="AG925" s="89"/>
      <c r="AH925" s="89"/>
      <c r="AI925" s="89"/>
      <c r="AJ925" s="89"/>
      <c r="AK925" s="89"/>
    </row>
    <row r="926" customFormat="false" ht="15.75" hidden="false" customHeight="true" outlineLevel="0" collapsed="false">
      <c r="A926" s="76"/>
      <c r="B926" s="76"/>
      <c r="C926" s="88"/>
      <c r="D926" s="89"/>
      <c r="E926" s="89"/>
      <c r="F926" s="89"/>
      <c r="G926" s="89"/>
      <c r="H926" s="89"/>
      <c r="I926" s="90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  <c r="AD926" s="89"/>
      <c r="AE926" s="89"/>
      <c r="AF926" s="89"/>
      <c r="AG926" s="89"/>
      <c r="AH926" s="89"/>
      <c r="AI926" s="89"/>
      <c r="AJ926" s="89"/>
      <c r="AK926" s="89"/>
    </row>
    <row r="927" customFormat="false" ht="15.75" hidden="false" customHeight="true" outlineLevel="0" collapsed="false">
      <c r="A927" s="76"/>
      <c r="B927" s="76"/>
      <c r="C927" s="88"/>
      <c r="D927" s="89"/>
      <c r="E927" s="89"/>
      <c r="F927" s="89"/>
      <c r="G927" s="89"/>
      <c r="H927" s="89"/>
      <c r="I927" s="90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  <c r="AD927" s="89"/>
      <c r="AE927" s="89"/>
      <c r="AF927" s="89"/>
      <c r="AG927" s="89"/>
      <c r="AH927" s="89"/>
      <c r="AI927" s="89"/>
      <c r="AJ927" s="89"/>
      <c r="AK927" s="89"/>
    </row>
    <row r="928" customFormat="false" ht="15.75" hidden="false" customHeight="true" outlineLevel="0" collapsed="false">
      <c r="A928" s="76"/>
      <c r="B928" s="76"/>
      <c r="C928" s="88"/>
      <c r="D928" s="89"/>
      <c r="E928" s="89"/>
      <c r="F928" s="89"/>
      <c r="G928" s="89"/>
      <c r="H928" s="89"/>
      <c r="I928" s="90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  <c r="AD928" s="89"/>
      <c r="AE928" s="89"/>
      <c r="AF928" s="89"/>
      <c r="AG928" s="89"/>
      <c r="AH928" s="89"/>
      <c r="AI928" s="89"/>
      <c r="AJ928" s="89"/>
      <c r="AK928" s="89"/>
    </row>
    <row r="929" customFormat="false" ht="15.75" hidden="false" customHeight="true" outlineLevel="0" collapsed="false">
      <c r="A929" s="76"/>
      <c r="B929" s="76"/>
      <c r="C929" s="88"/>
      <c r="D929" s="89"/>
      <c r="E929" s="89"/>
      <c r="F929" s="89"/>
      <c r="G929" s="89"/>
      <c r="H929" s="89"/>
      <c r="I929" s="90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  <c r="AD929" s="89"/>
      <c r="AE929" s="89"/>
      <c r="AF929" s="89"/>
      <c r="AG929" s="89"/>
      <c r="AH929" s="89"/>
      <c r="AI929" s="89"/>
      <c r="AJ929" s="89"/>
      <c r="AK929" s="89"/>
    </row>
    <row r="930" customFormat="false" ht="15.75" hidden="false" customHeight="true" outlineLevel="0" collapsed="false">
      <c r="A930" s="76"/>
      <c r="B930" s="76"/>
      <c r="C930" s="88"/>
      <c r="D930" s="89"/>
      <c r="E930" s="89"/>
      <c r="F930" s="89"/>
      <c r="G930" s="89"/>
      <c r="H930" s="89"/>
      <c r="I930" s="90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  <c r="AD930" s="89"/>
      <c r="AE930" s="89"/>
      <c r="AF930" s="89"/>
      <c r="AG930" s="89"/>
      <c r="AH930" s="89"/>
      <c r="AI930" s="89"/>
      <c r="AJ930" s="89"/>
      <c r="AK930" s="89"/>
    </row>
    <row r="931" customFormat="false" ht="15.75" hidden="false" customHeight="true" outlineLevel="0" collapsed="false">
      <c r="A931" s="76"/>
      <c r="B931" s="76"/>
      <c r="C931" s="88"/>
      <c r="D931" s="89"/>
      <c r="E931" s="89"/>
      <c r="F931" s="89"/>
      <c r="G931" s="89"/>
      <c r="H931" s="89"/>
      <c r="I931" s="90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  <c r="AD931" s="89"/>
      <c r="AE931" s="89"/>
      <c r="AF931" s="89"/>
      <c r="AG931" s="89"/>
      <c r="AH931" s="89"/>
      <c r="AI931" s="89"/>
      <c r="AJ931" s="89"/>
      <c r="AK931" s="89"/>
    </row>
    <row r="932" customFormat="false" ht="15.75" hidden="false" customHeight="true" outlineLevel="0" collapsed="false">
      <c r="A932" s="76"/>
      <c r="B932" s="76"/>
      <c r="C932" s="88"/>
      <c r="D932" s="89"/>
      <c r="E932" s="89"/>
      <c r="F932" s="89"/>
      <c r="G932" s="89"/>
      <c r="H932" s="89"/>
      <c r="I932" s="90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  <c r="AD932" s="89"/>
      <c r="AE932" s="89"/>
      <c r="AF932" s="89"/>
      <c r="AG932" s="89"/>
      <c r="AH932" s="89"/>
      <c r="AI932" s="89"/>
      <c r="AJ932" s="89"/>
      <c r="AK932" s="89"/>
    </row>
    <row r="933" customFormat="false" ht="15.75" hidden="false" customHeight="true" outlineLevel="0" collapsed="false">
      <c r="A933" s="76"/>
      <c r="B933" s="76"/>
      <c r="C933" s="88"/>
      <c r="D933" s="89"/>
      <c r="E933" s="89"/>
      <c r="F933" s="89"/>
      <c r="G933" s="89"/>
      <c r="H933" s="89"/>
      <c r="I933" s="90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  <c r="AD933" s="89"/>
      <c r="AE933" s="89"/>
      <c r="AF933" s="89"/>
      <c r="AG933" s="89"/>
      <c r="AH933" s="89"/>
      <c r="AI933" s="89"/>
      <c r="AJ933" s="89"/>
      <c r="AK933" s="89"/>
    </row>
    <row r="934" customFormat="false" ht="15.75" hidden="false" customHeight="true" outlineLevel="0" collapsed="false">
      <c r="A934" s="76"/>
      <c r="B934" s="76"/>
      <c r="C934" s="88"/>
      <c r="D934" s="89"/>
      <c r="E934" s="89"/>
      <c r="F934" s="89"/>
      <c r="G934" s="89"/>
      <c r="H934" s="89"/>
      <c r="I934" s="90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</row>
    <row r="935" customFormat="false" ht="15.75" hidden="false" customHeight="true" outlineLevel="0" collapsed="false">
      <c r="A935" s="76"/>
      <c r="B935" s="76"/>
      <c r="C935" s="88"/>
      <c r="D935" s="89"/>
      <c r="E935" s="89"/>
      <c r="F935" s="89"/>
      <c r="G935" s="89"/>
      <c r="H935" s="89"/>
      <c r="I935" s="90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  <c r="AD935" s="89"/>
      <c r="AE935" s="89"/>
      <c r="AF935" s="89"/>
      <c r="AG935" s="89"/>
      <c r="AH935" s="89"/>
      <c r="AI935" s="89"/>
      <c r="AJ935" s="89"/>
      <c r="AK935" s="89"/>
    </row>
    <row r="936" customFormat="false" ht="15.75" hidden="false" customHeight="true" outlineLevel="0" collapsed="false">
      <c r="A936" s="76"/>
      <c r="B936" s="76"/>
      <c r="C936" s="88"/>
      <c r="D936" s="89"/>
      <c r="E936" s="89"/>
      <c r="F936" s="89"/>
      <c r="G936" s="89"/>
      <c r="H936" s="89"/>
      <c r="I936" s="90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  <c r="AD936" s="89"/>
      <c r="AE936" s="89"/>
      <c r="AF936" s="89"/>
      <c r="AG936" s="89"/>
      <c r="AH936" s="89"/>
      <c r="AI936" s="89"/>
      <c r="AJ936" s="89"/>
      <c r="AK936" s="89"/>
    </row>
    <row r="937" customFormat="false" ht="15.75" hidden="false" customHeight="true" outlineLevel="0" collapsed="false">
      <c r="A937" s="76"/>
      <c r="B937" s="76"/>
      <c r="C937" s="88"/>
      <c r="D937" s="89"/>
      <c r="E937" s="89"/>
      <c r="F937" s="89"/>
      <c r="G937" s="89"/>
      <c r="H937" s="89"/>
      <c r="I937" s="90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  <c r="AD937" s="89"/>
      <c r="AE937" s="89"/>
      <c r="AF937" s="89"/>
      <c r="AG937" s="89"/>
      <c r="AH937" s="89"/>
      <c r="AI937" s="89"/>
      <c r="AJ937" s="89"/>
      <c r="AK937" s="89"/>
    </row>
    <row r="938" customFormat="false" ht="15.75" hidden="false" customHeight="true" outlineLevel="0" collapsed="false">
      <c r="A938" s="76"/>
      <c r="B938" s="76"/>
      <c r="C938" s="88"/>
      <c r="D938" s="89"/>
      <c r="E938" s="89"/>
      <c r="F938" s="89"/>
      <c r="G938" s="89"/>
      <c r="H938" s="89"/>
      <c r="I938" s="90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  <c r="AD938" s="89"/>
      <c r="AE938" s="89"/>
      <c r="AF938" s="89"/>
      <c r="AG938" s="89"/>
      <c r="AH938" s="89"/>
      <c r="AI938" s="89"/>
      <c r="AJ938" s="89"/>
      <c r="AK938" s="89"/>
    </row>
    <row r="939" customFormat="false" ht="15.75" hidden="false" customHeight="true" outlineLevel="0" collapsed="false">
      <c r="A939" s="76"/>
      <c r="B939" s="76"/>
      <c r="C939" s="88"/>
      <c r="D939" s="89"/>
      <c r="E939" s="89"/>
      <c r="F939" s="89"/>
      <c r="G939" s="89"/>
      <c r="H939" s="89"/>
      <c r="I939" s="90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  <c r="AD939" s="89"/>
      <c r="AE939" s="89"/>
      <c r="AF939" s="89"/>
      <c r="AG939" s="89"/>
      <c r="AH939" s="89"/>
      <c r="AI939" s="89"/>
      <c r="AJ939" s="89"/>
      <c r="AK939" s="89"/>
    </row>
    <row r="940" customFormat="false" ht="15.75" hidden="false" customHeight="true" outlineLevel="0" collapsed="false">
      <c r="A940" s="76"/>
      <c r="B940" s="76"/>
      <c r="C940" s="88"/>
      <c r="D940" s="89"/>
      <c r="E940" s="89"/>
      <c r="F940" s="89"/>
      <c r="G940" s="89"/>
      <c r="H940" s="89"/>
      <c r="I940" s="90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  <c r="AD940" s="89"/>
      <c r="AE940" s="89"/>
      <c r="AF940" s="89"/>
      <c r="AG940" s="89"/>
      <c r="AH940" s="89"/>
      <c r="AI940" s="89"/>
      <c r="AJ940" s="89"/>
      <c r="AK940" s="89"/>
    </row>
    <row r="941" customFormat="false" ht="15.75" hidden="false" customHeight="true" outlineLevel="0" collapsed="false">
      <c r="A941" s="76"/>
      <c r="B941" s="76"/>
      <c r="C941" s="88"/>
      <c r="D941" s="89"/>
      <c r="E941" s="89"/>
      <c r="F941" s="89"/>
      <c r="G941" s="89"/>
      <c r="H941" s="89"/>
      <c r="I941" s="90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  <c r="AD941" s="89"/>
      <c r="AE941" s="89"/>
      <c r="AF941" s="89"/>
      <c r="AG941" s="89"/>
      <c r="AH941" s="89"/>
      <c r="AI941" s="89"/>
      <c r="AJ941" s="89"/>
      <c r="AK941" s="89"/>
    </row>
    <row r="942" customFormat="false" ht="15.75" hidden="false" customHeight="true" outlineLevel="0" collapsed="false">
      <c r="A942" s="76"/>
      <c r="B942" s="76"/>
      <c r="C942" s="88"/>
      <c r="D942" s="89"/>
      <c r="E942" s="89"/>
      <c r="F942" s="89"/>
      <c r="G942" s="89"/>
      <c r="H942" s="89"/>
      <c r="I942" s="90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  <c r="AD942" s="89"/>
      <c r="AE942" s="89"/>
      <c r="AF942" s="89"/>
      <c r="AG942" s="89"/>
      <c r="AH942" s="89"/>
      <c r="AI942" s="89"/>
      <c r="AJ942" s="89"/>
      <c r="AK942" s="89"/>
    </row>
    <row r="943" customFormat="false" ht="15.75" hidden="false" customHeight="true" outlineLevel="0" collapsed="false">
      <c r="A943" s="76"/>
      <c r="B943" s="76"/>
      <c r="C943" s="88"/>
      <c r="D943" s="89"/>
      <c r="E943" s="89"/>
      <c r="F943" s="89"/>
      <c r="G943" s="89"/>
      <c r="H943" s="89"/>
      <c r="I943" s="90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  <c r="AD943" s="89"/>
      <c r="AE943" s="89"/>
      <c r="AF943" s="89"/>
      <c r="AG943" s="89"/>
      <c r="AH943" s="89"/>
      <c r="AI943" s="89"/>
      <c r="AJ943" s="89"/>
      <c r="AK943" s="89"/>
    </row>
    <row r="944" customFormat="false" ht="15.75" hidden="false" customHeight="true" outlineLevel="0" collapsed="false">
      <c r="A944" s="76"/>
      <c r="B944" s="76"/>
      <c r="C944" s="88"/>
      <c r="D944" s="89"/>
      <c r="E944" s="89"/>
      <c r="F944" s="89"/>
      <c r="G944" s="89"/>
      <c r="H944" s="89"/>
      <c r="I944" s="90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  <c r="AD944" s="89"/>
      <c r="AE944" s="89"/>
      <c r="AF944" s="89"/>
      <c r="AG944" s="89"/>
      <c r="AH944" s="89"/>
      <c r="AI944" s="89"/>
      <c r="AJ944" s="89"/>
      <c r="AK944" s="89"/>
    </row>
    <row r="945" customFormat="false" ht="15.75" hidden="false" customHeight="true" outlineLevel="0" collapsed="false">
      <c r="A945" s="76"/>
      <c r="B945" s="76"/>
      <c r="C945" s="88"/>
      <c r="D945" s="89"/>
      <c r="E945" s="89"/>
      <c r="F945" s="89"/>
      <c r="G945" s="89"/>
      <c r="H945" s="89"/>
      <c r="I945" s="90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  <c r="AD945" s="89"/>
      <c r="AE945" s="89"/>
      <c r="AF945" s="89"/>
      <c r="AG945" s="89"/>
      <c r="AH945" s="89"/>
      <c r="AI945" s="89"/>
      <c r="AJ945" s="89"/>
      <c r="AK945" s="89"/>
    </row>
    <row r="946" customFormat="false" ht="15.75" hidden="false" customHeight="true" outlineLevel="0" collapsed="false">
      <c r="A946" s="76"/>
      <c r="B946" s="76"/>
      <c r="C946" s="88"/>
      <c r="D946" s="89"/>
      <c r="E946" s="89"/>
      <c r="F946" s="89"/>
      <c r="G946" s="89"/>
      <c r="H946" s="89"/>
      <c r="I946" s="90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  <c r="AD946" s="89"/>
      <c r="AE946" s="89"/>
      <c r="AF946" s="89"/>
      <c r="AG946" s="89"/>
      <c r="AH946" s="89"/>
      <c r="AI946" s="89"/>
      <c r="AJ946" s="89"/>
      <c r="AK946" s="89"/>
    </row>
    <row r="947" customFormat="false" ht="15.75" hidden="false" customHeight="true" outlineLevel="0" collapsed="false">
      <c r="A947" s="76"/>
      <c r="B947" s="76"/>
      <c r="C947" s="88"/>
      <c r="D947" s="89"/>
      <c r="E947" s="89"/>
      <c r="F947" s="89"/>
      <c r="G947" s="89"/>
      <c r="H947" s="89"/>
      <c r="I947" s="90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  <c r="AD947" s="89"/>
      <c r="AE947" s="89"/>
      <c r="AF947" s="89"/>
      <c r="AG947" s="89"/>
      <c r="AH947" s="89"/>
      <c r="AI947" s="89"/>
      <c r="AJ947" s="89"/>
      <c r="AK947" s="89"/>
    </row>
    <row r="948" customFormat="false" ht="15.75" hidden="false" customHeight="true" outlineLevel="0" collapsed="false">
      <c r="A948" s="76"/>
      <c r="B948" s="76"/>
      <c r="C948" s="88"/>
      <c r="D948" s="89"/>
      <c r="E948" s="89"/>
      <c r="F948" s="89"/>
      <c r="G948" s="89"/>
      <c r="H948" s="89"/>
      <c r="I948" s="90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  <c r="AD948" s="89"/>
      <c r="AE948" s="89"/>
      <c r="AF948" s="89"/>
      <c r="AG948" s="89"/>
      <c r="AH948" s="89"/>
      <c r="AI948" s="89"/>
      <c r="AJ948" s="89"/>
      <c r="AK948" s="89"/>
    </row>
    <row r="949" customFormat="false" ht="15.75" hidden="false" customHeight="true" outlineLevel="0" collapsed="false">
      <c r="A949" s="76"/>
      <c r="B949" s="76"/>
      <c r="C949" s="88"/>
      <c r="D949" s="89"/>
      <c r="E949" s="89"/>
      <c r="F949" s="89"/>
      <c r="G949" s="89"/>
      <c r="H949" s="89"/>
      <c r="I949" s="90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  <c r="AD949" s="89"/>
      <c r="AE949" s="89"/>
      <c r="AF949" s="89"/>
      <c r="AG949" s="89"/>
      <c r="AH949" s="89"/>
      <c r="AI949" s="89"/>
      <c r="AJ949" s="89"/>
      <c r="AK949" s="89"/>
    </row>
    <row r="950" customFormat="false" ht="15.75" hidden="false" customHeight="true" outlineLevel="0" collapsed="false">
      <c r="A950" s="76"/>
      <c r="B950" s="76"/>
      <c r="C950" s="88"/>
      <c r="D950" s="89"/>
      <c r="E950" s="89"/>
      <c r="F950" s="89"/>
      <c r="G950" s="89"/>
      <c r="H950" s="89"/>
      <c r="I950" s="90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  <c r="AD950" s="89"/>
      <c r="AE950" s="89"/>
      <c r="AF950" s="89"/>
      <c r="AG950" s="89"/>
      <c r="AH950" s="89"/>
      <c r="AI950" s="89"/>
      <c r="AJ950" s="89"/>
      <c r="AK950" s="89"/>
    </row>
    <row r="951" customFormat="false" ht="15.75" hidden="false" customHeight="true" outlineLevel="0" collapsed="false">
      <c r="A951" s="76"/>
      <c r="B951" s="76"/>
      <c r="C951" s="88"/>
      <c r="D951" s="89"/>
      <c r="E951" s="89"/>
      <c r="F951" s="89"/>
      <c r="G951" s="89"/>
      <c r="H951" s="89"/>
      <c r="I951" s="90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  <c r="AD951" s="89"/>
      <c r="AE951" s="89"/>
      <c r="AF951" s="89"/>
      <c r="AG951" s="89"/>
      <c r="AH951" s="89"/>
      <c r="AI951" s="89"/>
      <c r="AJ951" s="89"/>
      <c r="AK951" s="89"/>
    </row>
    <row r="952" customFormat="false" ht="15.75" hidden="false" customHeight="true" outlineLevel="0" collapsed="false">
      <c r="A952" s="76"/>
      <c r="B952" s="76"/>
      <c r="C952" s="88"/>
      <c r="D952" s="89"/>
      <c r="E952" s="89"/>
      <c r="F952" s="89"/>
      <c r="G952" s="89"/>
      <c r="H952" s="89"/>
      <c r="I952" s="90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  <c r="AD952" s="89"/>
      <c r="AE952" s="89"/>
      <c r="AF952" s="89"/>
      <c r="AG952" s="89"/>
      <c r="AH952" s="89"/>
      <c r="AI952" s="89"/>
      <c r="AJ952" s="89"/>
      <c r="AK952" s="89"/>
    </row>
    <row r="953" customFormat="false" ht="15.75" hidden="false" customHeight="true" outlineLevel="0" collapsed="false">
      <c r="A953" s="76"/>
      <c r="B953" s="76"/>
      <c r="C953" s="88"/>
      <c r="D953" s="89"/>
      <c r="E953" s="89"/>
      <c r="F953" s="89"/>
      <c r="G953" s="89"/>
      <c r="H953" s="89"/>
      <c r="I953" s="90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  <c r="AD953" s="89"/>
      <c r="AE953" s="89"/>
      <c r="AF953" s="89"/>
      <c r="AG953" s="89"/>
      <c r="AH953" s="89"/>
      <c r="AI953" s="89"/>
      <c r="AJ953" s="89"/>
      <c r="AK953" s="89"/>
    </row>
    <row r="954" customFormat="false" ht="15.75" hidden="false" customHeight="true" outlineLevel="0" collapsed="false">
      <c r="A954" s="76"/>
      <c r="B954" s="76"/>
      <c r="C954" s="88"/>
      <c r="D954" s="89"/>
      <c r="E954" s="89"/>
      <c r="F954" s="89"/>
      <c r="G954" s="89"/>
      <c r="H954" s="89"/>
      <c r="I954" s="90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  <c r="AD954" s="89"/>
      <c r="AE954" s="89"/>
      <c r="AF954" s="89"/>
      <c r="AG954" s="89"/>
      <c r="AH954" s="89"/>
      <c r="AI954" s="89"/>
      <c r="AJ954" s="89"/>
      <c r="AK954" s="89"/>
    </row>
    <row r="955" customFormat="false" ht="15.75" hidden="false" customHeight="true" outlineLevel="0" collapsed="false">
      <c r="A955" s="76"/>
      <c r="B955" s="76"/>
      <c r="C955" s="88"/>
      <c r="D955" s="89"/>
      <c r="E955" s="89"/>
      <c r="F955" s="89"/>
      <c r="G955" s="89"/>
      <c r="H955" s="89"/>
      <c r="I955" s="90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  <c r="AD955" s="89"/>
      <c r="AE955" s="89"/>
      <c r="AF955" s="89"/>
      <c r="AG955" s="89"/>
      <c r="AH955" s="89"/>
      <c r="AI955" s="89"/>
      <c r="AJ955" s="89"/>
      <c r="AK955" s="89"/>
    </row>
    <row r="956" customFormat="false" ht="15.75" hidden="false" customHeight="true" outlineLevel="0" collapsed="false">
      <c r="A956" s="76"/>
      <c r="B956" s="76"/>
      <c r="C956" s="88"/>
      <c r="D956" s="89"/>
      <c r="E956" s="89"/>
      <c r="F956" s="89"/>
      <c r="G956" s="89"/>
      <c r="H956" s="89"/>
      <c r="I956" s="90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  <c r="AD956" s="89"/>
      <c r="AE956" s="89"/>
      <c r="AF956" s="89"/>
      <c r="AG956" s="89"/>
      <c r="AH956" s="89"/>
      <c r="AI956" s="89"/>
      <c r="AJ956" s="89"/>
      <c r="AK956" s="89"/>
    </row>
    <row r="957" customFormat="false" ht="15.75" hidden="false" customHeight="true" outlineLevel="0" collapsed="false">
      <c r="A957" s="76"/>
      <c r="B957" s="76"/>
      <c r="C957" s="88"/>
      <c r="D957" s="89"/>
      <c r="E957" s="89"/>
      <c r="F957" s="89"/>
      <c r="G957" s="89"/>
      <c r="H957" s="89"/>
      <c r="I957" s="90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  <c r="AD957" s="89"/>
      <c r="AE957" s="89"/>
      <c r="AF957" s="89"/>
      <c r="AG957" s="89"/>
      <c r="AH957" s="89"/>
      <c r="AI957" s="89"/>
      <c r="AJ957" s="89"/>
      <c r="AK957" s="89"/>
    </row>
    <row r="958" customFormat="false" ht="15.75" hidden="false" customHeight="true" outlineLevel="0" collapsed="false">
      <c r="A958" s="76"/>
      <c r="B958" s="76"/>
      <c r="C958" s="88"/>
      <c r="D958" s="89"/>
      <c r="E958" s="89"/>
      <c r="F958" s="89"/>
      <c r="G958" s="89"/>
      <c r="H958" s="89"/>
      <c r="I958" s="90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  <c r="AD958" s="89"/>
      <c r="AE958" s="89"/>
      <c r="AF958" s="89"/>
      <c r="AG958" s="89"/>
      <c r="AH958" s="89"/>
      <c r="AI958" s="89"/>
      <c r="AJ958" s="89"/>
      <c r="AK958" s="89"/>
    </row>
    <row r="959" customFormat="false" ht="15.75" hidden="false" customHeight="true" outlineLevel="0" collapsed="false">
      <c r="A959" s="76"/>
      <c r="B959" s="76"/>
      <c r="C959" s="88"/>
      <c r="D959" s="89"/>
      <c r="E959" s="89"/>
      <c r="F959" s="89"/>
      <c r="G959" s="89"/>
      <c r="H959" s="89"/>
      <c r="I959" s="90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  <c r="AD959" s="89"/>
      <c r="AE959" s="89"/>
      <c r="AF959" s="89"/>
      <c r="AG959" s="89"/>
      <c r="AH959" s="89"/>
      <c r="AI959" s="89"/>
      <c r="AJ959" s="89"/>
      <c r="AK959" s="89"/>
    </row>
    <row r="960" customFormat="false" ht="15.75" hidden="false" customHeight="true" outlineLevel="0" collapsed="false">
      <c r="A960" s="76"/>
      <c r="B960" s="76"/>
      <c r="C960" s="88"/>
      <c r="D960" s="89"/>
      <c r="E960" s="89"/>
      <c r="F960" s="89"/>
      <c r="G960" s="89"/>
      <c r="H960" s="89"/>
      <c r="I960" s="90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  <c r="AD960" s="89"/>
      <c r="AE960" s="89"/>
      <c r="AF960" s="89"/>
      <c r="AG960" s="89"/>
      <c r="AH960" s="89"/>
      <c r="AI960" s="89"/>
      <c r="AJ960" s="89"/>
      <c r="AK960" s="89"/>
    </row>
    <row r="961" customFormat="false" ht="15.75" hidden="false" customHeight="true" outlineLevel="0" collapsed="false">
      <c r="A961" s="76"/>
      <c r="B961" s="76"/>
      <c r="C961" s="88"/>
      <c r="D961" s="89"/>
      <c r="E961" s="89"/>
      <c r="F961" s="89"/>
      <c r="G961" s="89"/>
      <c r="H961" s="89"/>
      <c r="I961" s="90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  <c r="AD961" s="89"/>
      <c r="AE961" s="89"/>
      <c r="AF961" s="89"/>
      <c r="AG961" s="89"/>
      <c r="AH961" s="89"/>
      <c r="AI961" s="89"/>
      <c r="AJ961" s="89"/>
      <c r="AK961" s="89"/>
    </row>
    <row r="962" customFormat="false" ht="15.75" hidden="false" customHeight="true" outlineLevel="0" collapsed="false">
      <c r="A962" s="76"/>
      <c r="B962" s="76"/>
      <c r="C962" s="88"/>
      <c r="D962" s="89"/>
      <c r="E962" s="89"/>
      <c r="F962" s="89"/>
      <c r="G962" s="89"/>
      <c r="H962" s="89"/>
      <c r="I962" s="90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  <c r="AD962" s="89"/>
      <c r="AE962" s="89"/>
      <c r="AF962" s="89"/>
      <c r="AG962" s="89"/>
      <c r="AH962" s="89"/>
      <c r="AI962" s="89"/>
      <c r="AJ962" s="89"/>
      <c r="AK962" s="89"/>
    </row>
    <row r="963" customFormat="false" ht="15.75" hidden="false" customHeight="true" outlineLevel="0" collapsed="false">
      <c r="A963" s="76"/>
      <c r="B963" s="76"/>
      <c r="C963" s="88"/>
      <c r="D963" s="89"/>
      <c r="E963" s="89"/>
      <c r="F963" s="89"/>
      <c r="G963" s="89"/>
      <c r="H963" s="89"/>
      <c r="I963" s="90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  <c r="AD963" s="89"/>
      <c r="AE963" s="89"/>
      <c r="AF963" s="89"/>
      <c r="AG963" s="89"/>
      <c r="AH963" s="89"/>
      <c r="AI963" s="89"/>
      <c r="AJ963" s="89"/>
      <c r="AK963" s="89"/>
    </row>
    <row r="964" customFormat="false" ht="15.75" hidden="false" customHeight="true" outlineLevel="0" collapsed="false">
      <c r="A964" s="76"/>
      <c r="B964" s="76"/>
      <c r="C964" s="88"/>
      <c r="D964" s="89"/>
      <c r="E964" s="89"/>
      <c r="F964" s="89"/>
      <c r="G964" s="89"/>
      <c r="H964" s="89"/>
      <c r="I964" s="90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  <c r="AD964" s="89"/>
      <c r="AE964" s="89"/>
      <c r="AF964" s="89"/>
      <c r="AG964" s="89"/>
      <c r="AH964" s="89"/>
      <c r="AI964" s="89"/>
      <c r="AJ964" s="89"/>
      <c r="AK964" s="89"/>
    </row>
    <row r="965" customFormat="false" ht="15.75" hidden="false" customHeight="true" outlineLevel="0" collapsed="false">
      <c r="A965" s="76"/>
      <c r="B965" s="76"/>
      <c r="C965" s="88"/>
      <c r="D965" s="89"/>
      <c r="E965" s="89"/>
      <c r="F965" s="89"/>
      <c r="G965" s="89"/>
      <c r="H965" s="89"/>
      <c r="I965" s="90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  <c r="AD965" s="89"/>
      <c r="AE965" s="89"/>
      <c r="AF965" s="89"/>
      <c r="AG965" s="89"/>
      <c r="AH965" s="89"/>
      <c r="AI965" s="89"/>
      <c r="AJ965" s="89"/>
      <c r="AK965" s="89"/>
    </row>
    <row r="966" customFormat="false" ht="15.75" hidden="false" customHeight="true" outlineLevel="0" collapsed="false">
      <c r="A966" s="76"/>
      <c r="B966" s="76"/>
      <c r="C966" s="88"/>
      <c r="D966" s="89"/>
      <c r="E966" s="89"/>
      <c r="F966" s="89"/>
      <c r="G966" s="89"/>
      <c r="H966" s="89"/>
      <c r="I966" s="90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  <c r="AD966" s="89"/>
      <c r="AE966" s="89"/>
      <c r="AF966" s="89"/>
      <c r="AG966" s="89"/>
      <c r="AH966" s="89"/>
      <c r="AI966" s="89"/>
      <c r="AJ966" s="89"/>
      <c r="AK966" s="89"/>
    </row>
    <row r="967" customFormat="false" ht="15.75" hidden="false" customHeight="true" outlineLevel="0" collapsed="false">
      <c r="A967" s="76"/>
      <c r="B967" s="76"/>
      <c r="C967" s="88"/>
      <c r="D967" s="89"/>
      <c r="E967" s="89"/>
      <c r="F967" s="89"/>
      <c r="G967" s="89"/>
      <c r="H967" s="89"/>
      <c r="I967" s="90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  <c r="AD967" s="89"/>
      <c r="AE967" s="89"/>
      <c r="AF967" s="89"/>
      <c r="AG967" s="89"/>
      <c r="AH967" s="89"/>
      <c r="AI967" s="89"/>
      <c r="AJ967" s="89"/>
      <c r="AK967" s="89"/>
    </row>
    <row r="968" customFormat="false" ht="15.75" hidden="false" customHeight="true" outlineLevel="0" collapsed="false">
      <c r="A968" s="76"/>
      <c r="B968" s="76"/>
      <c r="C968" s="88"/>
      <c r="D968" s="89"/>
      <c r="E968" s="89"/>
      <c r="F968" s="89"/>
      <c r="G968" s="89"/>
      <c r="H968" s="89"/>
      <c r="I968" s="90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  <c r="AD968" s="89"/>
      <c r="AE968" s="89"/>
      <c r="AF968" s="89"/>
      <c r="AG968" s="89"/>
      <c r="AH968" s="89"/>
      <c r="AI968" s="89"/>
      <c r="AJ968" s="89"/>
      <c r="AK968" s="89"/>
    </row>
    <row r="969" customFormat="false" ht="15.75" hidden="false" customHeight="true" outlineLevel="0" collapsed="false">
      <c r="A969" s="76"/>
      <c r="B969" s="76"/>
      <c r="C969" s="88"/>
      <c r="D969" s="89"/>
      <c r="E969" s="89"/>
      <c r="F969" s="89"/>
      <c r="G969" s="89"/>
      <c r="H969" s="89"/>
      <c r="I969" s="90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  <c r="AD969" s="89"/>
      <c r="AE969" s="89"/>
      <c r="AF969" s="89"/>
      <c r="AG969" s="89"/>
      <c r="AH969" s="89"/>
      <c r="AI969" s="89"/>
      <c r="AJ969" s="89"/>
      <c r="AK969" s="89"/>
    </row>
    <row r="970" customFormat="false" ht="15.75" hidden="false" customHeight="true" outlineLevel="0" collapsed="false">
      <c r="A970" s="76"/>
      <c r="B970" s="76"/>
      <c r="C970" s="88"/>
      <c r="D970" s="89"/>
      <c r="E970" s="89"/>
      <c r="F970" s="89"/>
      <c r="G970" s="89"/>
      <c r="H970" s="89"/>
      <c r="I970" s="90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  <c r="AD970" s="89"/>
      <c r="AE970" s="89"/>
      <c r="AF970" s="89"/>
      <c r="AG970" s="89"/>
      <c r="AH970" s="89"/>
      <c r="AI970" s="89"/>
      <c r="AJ970" s="89"/>
      <c r="AK970" s="89"/>
    </row>
    <row r="971" customFormat="false" ht="15.75" hidden="false" customHeight="true" outlineLevel="0" collapsed="false">
      <c r="A971" s="76"/>
      <c r="B971" s="76"/>
      <c r="C971" s="88"/>
      <c r="D971" s="89"/>
      <c r="E971" s="89"/>
      <c r="F971" s="89"/>
      <c r="G971" s="89"/>
      <c r="H971" s="89"/>
      <c r="I971" s="90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  <c r="AD971" s="89"/>
      <c r="AE971" s="89"/>
      <c r="AF971" s="89"/>
      <c r="AG971" s="89"/>
      <c r="AH971" s="89"/>
      <c r="AI971" s="89"/>
      <c r="AJ971" s="89"/>
      <c r="AK971" s="89"/>
    </row>
    <row r="972" customFormat="false" ht="15.75" hidden="false" customHeight="true" outlineLevel="0" collapsed="false">
      <c r="A972" s="76"/>
      <c r="B972" s="76"/>
      <c r="C972" s="88"/>
      <c r="D972" s="89"/>
      <c r="E972" s="89"/>
      <c r="F972" s="89"/>
      <c r="G972" s="89"/>
      <c r="H972" s="89"/>
      <c r="I972" s="90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  <c r="AD972" s="89"/>
      <c r="AE972" s="89"/>
      <c r="AF972" s="89"/>
      <c r="AG972" s="89"/>
      <c r="AH972" s="89"/>
      <c r="AI972" s="89"/>
      <c r="AJ972" s="89"/>
      <c r="AK972" s="89"/>
    </row>
    <row r="973" customFormat="false" ht="15.75" hidden="false" customHeight="true" outlineLevel="0" collapsed="false">
      <c r="A973" s="76"/>
      <c r="B973" s="76"/>
      <c r="C973" s="88"/>
      <c r="D973" s="89"/>
      <c r="E973" s="89"/>
      <c r="F973" s="89"/>
      <c r="G973" s="89"/>
      <c r="H973" s="89"/>
      <c r="I973" s="90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  <c r="AD973" s="89"/>
      <c r="AE973" s="89"/>
      <c r="AF973" s="89"/>
      <c r="AG973" s="89"/>
      <c r="AH973" s="89"/>
      <c r="AI973" s="89"/>
      <c r="AJ973" s="89"/>
      <c r="AK973" s="89"/>
    </row>
    <row r="974" customFormat="false" ht="15.75" hidden="false" customHeight="true" outlineLevel="0" collapsed="false">
      <c r="A974" s="76"/>
      <c r="B974" s="76"/>
      <c r="C974" s="88"/>
      <c r="D974" s="89"/>
      <c r="E974" s="89"/>
      <c r="F974" s="89"/>
      <c r="G974" s="89"/>
      <c r="H974" s="89"/>
      <c r="I974" s="90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  <c r="AD974" s="89"/>
      <c r="AE974" s="89"/>
      <c r="AF974" s="89"/>
      <c r="AG974" s="89"/>
      <c r="AH974" s="89"/>
      <c r="AI974" s="89"/>
      <c r="AJ974" s="89"/>
      <c r="AK974" s="89"/>
    </row>
    <row r="975" customFormat="false" ht="15.75" hidden="false" customHeight="true" outlineLevel="0" collapsed="false">
      <c r="A975" s="76"/>
      <c r="B975" s="76"/>
      <c r="C975" s="88"/>
      <c r="D975" s="89"/>
      <c r="E975" s="89"/>
      <c r="F975" s="89"/>
      <c r="G975" s="89"/>
      <c r="H975" s="89"/>
      <c r="I975" s="90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  <c r="AD975" s="89"/>
      <c r="AE975" s="89"/>
      <c r="AF975" s="89"/>
      <c r="AG975" s="89"/>
      <c r="AH975" s="89"/>
      <c r="AI975" s="89"/>
      <c r="AJ975" s="89"/>
      <c r="AK975" s="89"/>
    </row>
    <row r="976" customFormat="false" ht="15.75" hidden="false" customHeight="true" outlineLevel="0" collapsed="false">
      <c r="A976" s="76"/>
      <c r="B976" s="76"/>
      <c r="C976" s="88"/>
      <c r="D976" s="89"/>
      <c r="E976" s="89"/>
      <c r="F976" s="89"/>
      <c r="G976" s="89"/>
      <c r="H976" s="89"/>
      <c r="I976" s="90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  <c r="AD976" s="89"/>
      <c r="AE976" s="89"/>
      <c r="AF976" s="89"/>
      <c r="AG976" s="89"/>
      <c r="AH976" s="89"/>
      <c r="AI976" s="89"/>
      <c r="AJ976" s="89"/>
      <c r="AK976" s="89"/>
    </row>
    <row r="977" customFormat="false" ht="15.75" hidden="false" customHeight="true" outlineLevel="0" collapsed="false">
      <c r="A977" s="76"/>
      <c r="B977" s="76"/>
      <c r="C977" s="88"/>
      <c r="D977" s="89"/>
      <c r="E977" s="89"/>
      <c r="F977" s="89"/>
      <c r="G977" s="89"/>
      <c r="H977" s="89"/>
      <c r="I977" s="90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  <c r="AD977" s="89"/>
      <c r="AE977" s="89"/>
      <c r="AF977" s="89"/>
      <c r="AG977" s="89"/>
      <c r="AH977" s="89"/>
      <c r="AI977" s="89"/>
      <c r="AJ977" s="89"/>
      <c r="AK977" s="89"/>
    </row>
    <row r="978" customFormat="false" ht="15.75" hidden="false" customHeight="true" outlineLevel="0" collapsed="false">
      <c r="A978" s="76"/>
      <c r="B978" s="76"/>
      <c r="C978" s="88"/>
      <c r="D978" s="89"/>
      <c r="E978" s="89"/>
      <c r="F978" s="89"/>
      <c r="G978" s="89"/>
      <c r="H978" s="89"/>
      <c r="I978" s="90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  <c r="AD978" s="89"/>
      <c r="AE978" s="89"/>
      <c r="AF978" s="89"/>
      <c r="AG978" s="89"/>
      <c r="AH978" s="89"/>
      <c r="AI978" s="89"/>
      <c r="AJ978" s="89"/>
      <c r="AK978" s="89"/>
    </row>
    <row r="979" customFormat="false" ht="15.75" hidden="false" customHeight="true" outlineLevel="0" collapsed="false">
      <c r="A979" s="76"/>
      <c r="B979" s="76"/>
      <c r="C979" s="88"/>
      <c r="D979" s="89"/>
      <c r="E979" s="89"/>
      <c r="F979" s="89"/>
      <c r="G979" s="89"/>
      <c r="H979" s="89"/>
      <c r="I979" s="90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  <c r="AD979" s="89"/>
      <c r="AE979" s="89"/>
      <c r="AF979" s="89"/>
      <c r="AG979" s="89"/>
      <c r="AH979" s="89"/>
      <c r="AI979" s="89"/>
      <c r="AJ979" s="89"/>
      <c r="AK979" s="89"/>
    </row>
    <row r="980" customFormat="false" ht="15.75" hidden="false" customHeight="true" outlineLevel="0" collapsed="false">
      <c r="A980" s="76"/>
      <c r="B980" s="76"/>
      <c r="C980" s="88"/>
      <c r="D980" s="89"/>
      <c r="E980" s="89"/>
      <c r="F980" s="89"/>
      <c r="G980" s="89"/>
      <c r="H980" s="89"/>
      <c r="I980" s="90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  <c r="AD980" s="89"/>
      <c r="AE980" s="89"/>
      <c r="AF980" s="89"/>
      <c r="AG980" s="89"/>
      <c r="AH980" s="89"/>
      <c r="AI980" s="89"/>
      <c r="AJ980" s="89"/>
      <c r="AK980" s="89"/>
    </row>
    <row r="981" customFormat="false" ht="15.75" hidden="false" customHeight="true" outlineLevel="0" collapsed="false">
      <c r="A981" s="76"/>
      <c r="B981" s="76"/>
      <c r="C981" s="88"/>
      <c r="D981" s="89"/>
      <c r="E981" s="89"/>
      <c r="F981" s="89"/>
      <c r="G981" s="89"/>
      <c r="H981" s="89"/>
      <c r="I981" s="90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  <c r="AD981" s="89"/>
      <c r="AE981" s="89"/>
      <c r="AF981" s="89"/>
      <c r="AG981" s="89"/>
      <c r="AH981" s="89"/>
      <c r="AI981" s="89"/>
      <c r="AJ981" s="89"/>
      <c r="AK981" s="89"/>
    </row>
    <row r="982" customFormat="false" ht="15.75" hidden="false" customHeight="true" outlineLevel="0" collapsed="false">
      <c r="A982" s="76"/>
      <c r="B982" s="76"/>
      <c r="C982" s="88"/>
      <c r="D982" s="89"/>
      <c r="E982" s="89"/>
      <c r="F982" s="89"/>
      <c r="G982" s="89"/>
      <c r="H982" s="89"/>
      <c r="I982" s="90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  <c r="AD982" s="89"/>
      <c r="AE982" s="89"/>
      <c r="AF982" s="89"/>
      <c r="AG982" s="89"/>
      <c r="AH982" s="89"/>
      <c r="AI982" s="89"/>
      <c r="AJ982" s="89"/>
      <c r="AK982" s="89"/>
    </row>
    <row r="983" customFormat="false" ht="15.75" hidden="false" customHeight="true" outlineLevel="0" collapsed="false">
      <c r="A983" s="76"/>
      <c r="B983" s="76"/>
      <c r="C983" s="88"/>
      <c r="D983" s="89"/>
      <c r="E983" s="89"/>
      <c r="F983" s="89"/>
      <c r="G983" s="89"/>
      <c r="H983" s="89"/>
      <c r="I983" s="90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  <c r="AD983" s="89"/>
      <c r="AE983" s="89"/>
      <c r="AF983" s="89"/>
      <c r="AG983" s="89"/>
      <c r="AH983" s="89"/>
      <c r="AI983" s="89"/>
      <c r="AJ983" s="89"/>
      <c r="AK983" s="89"/>
    </row>
    <row r="984" customFormat="false" ht="15.75" hidden="false" customHeight="true" outlineLevel="0" collapsed="false">
      <c r="A984" s="76"/>
      <c r="B984" s="76"/>
      <c r="C984" s="88"/>
      <c r="D984" s="89"/>
      <c r="E984" s="89"/>
      <c r="F984" s="89"/>
      <c r="G984" s="89"/>
      <c r="H984" s="89"/>
      <c r="I984" s="90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  <c r="AD984" s="89"/>
      <c r="AE984" s="89"/>
      <c r="AF984" s="89"/>
      <c r="AG984" s="89"/>
      <c r="AH984" s="89"/>
      <c r="AI984" s="89"/>
      <c r="AJ984" s="89"/>
      <c r="AK984" s="89"/>
    </row>
    <row r="985" customFormat="false" ht="15.75" hidden="false" customHeight="true" outlineLevel="0" collapsed="false">
      <c r="A985" s="76"/>
      <c r="B985" s="76"/>
      <c r="C985" s="88"/>
      <c r="D985" s="89"/>
      <c r="E985" s="89"/>
      <c r="F985" s="89"/>
      <c r="G985" s="89"/>
      <c r="H985" s="89"/>
      <c r="I985" s="90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  <c r="AD985" s="89"/>
      <c r="AE985" s="89"/>
      <c r="AF985" s="89"/>
      <c r="AG985" s="89"/>
      <c r="AH985" s="89"/>
      <c r="AI985" s="89"/>
      <c r="AJ985" s="89"/>
      <c r="AK985" s="89"/>
    </row>
    <row r="986" customFormat="false" ht="15.75" hidden="false" customHeight="true" outlineLevel="0" collapsed="false">
      <c r="A986" s="76"/>
      <c r="B986" s="76"/>
      <c r="C986" s="88"/>
      <c r="D986" s="89"/>
      <c r="E986" s="89"/>
      <c r="F986" s="89"/>
      <c r="G986" s="89"/>
      <c r="H986" s="89"/>
      <c r="I986" s="90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  <c r="AD986" s="89"/>
      <c r="AE986" s="89"/>
      <c r="AF986" s="89"/>
      <c r="AG986" s="89"/>
      <c r="AH986" s="89"/>
      <c r="AI986" s="89"/>
      <c r="AJ986" s="89"/>
      <c r="AK986" s="89"/>
    </row>
    <row r="987" customFormat="false" ht="15.75" hidden="false" customHeight="true" outlineLevel="0" collapsed="false">
      <c r="A987" s="76"/>
      <c r="B987" s="76"/>
      <c r="C987" s="88"/>
      <c r="D987" s="89"/>
      <c r="E987" s="89"/>
      <c r="F987" s="89"/>
      <c r="G987" s="89"/>
      <c r="H987" s="89"/>
      <c r="I987" s="90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  <c r="AD987" s="89"/>
      <c r="AE987" s="89"/>
      <c r="AF987" s="89"/>
      <c r="AG987" s="89"/>
      <c r="AH987" s="89"/>
      <c r="AI987" s="89"/>
      <c r="AJ987" s="89"/>
      <c r="AK987" s="89"/>
    </row>
    <row r="988" customFormat="false" ht="15.75" hidden="false" customHeight="true" outlineLevel="0" collapsed="false">
      <c r="A988" s="76"/>
      <c r="B988" s="76"/>
      <c r="C988" s="88"/>
      <c r="D988" s="89"/>
      <c r="E988" s="89"/>
      <c r="F988" s="89"/>
      <c r="G988" s="89"/>
      <c r="H988" s="89"/>
      <c r="I988" s="90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  <c r="AD988" s="89"/>
      <c r="AE988" s="89"/>
      <c r="AF988" s="89"/>
      <c r="AG988" s="89"/>
      <c r="AH988" s="89"/>
      <c r="AI988" s="89"/>
      <c r="AJ988" s="89"/>
      <c r="AK988" s="89"/>
    </row>
    <row r="989" customFormat="false" ht="15.75" hidden="false" customHeight="true" outlineLevel="0" collapsed="false">
      <c r="A989" s="76"/>
      <c r="B989" s="76"/>
      <c r="C989" s="88"/>
      <c r="D989" s="89"/>
      <c r="E989" s="89"/>
      <c r="F989" s="89"/>
      <c r="G989" s="89"/>
      <c r="H989" s="89"/>
      <c r="I989" s="90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  <c r="AD989" s="89"/>
      <c r="AE989" s="89"/>
      <c r="AF989" s="89"/>
      <c r="AG989" s="89"/>
      <c r="AH989" s="89"/>
      <c r="AI989" s="89"/>
      <c r="AJ989" s="89"/>
      <c r="AK989" s="89"/>
    </row>
    <row r="990" customFormat="false" ht="15.75" hidden="false" customHeight="true" outlineLevel="0" collapsed="false">
      <c r="A990" s="76"/>
      <c r="B990" s="76"/>
      <c r="C990" s="88"/>
      <c r="D990" s="89"/>
      <c r="E990" s="89"/>
      <c r="F990" s="89"/>
      <c r="G990" s="89"/>
      <c r="H990" s="89"/>
      <c r="I990" s="90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  <c r="AD990" s="89"/>
      <c r="AE990" s="89"/>
      <c r="AF990" s="89"/>
      <c r="AG990" s="89"/>
      <c r="AH990" s="89"/>
      <c r="AI990" s="89"/>
      <c r="AJ990" s="89"/>
      <c r="AK990" s="89"/>
    </row>
    <row r="991" customFormat="false" ht="15.75" hidden="false" customHeight="true" outlineLevel="0" collapsed="false">
      <c r="A991" s="76"/>
      <c r="B991" s="76"/>
      <c r="C991" s="88"/>
      <c r="D991" s="89"/>
      <c r="E991" s="89"/>
      <c r="F991" s="89"/>
      <c r="G991" s="89"/>
      <c r="H991" s="89"/>
      <c r="I991" s="90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  <c r="AB991" s="89"/>
      <c r="AC991" s="89"/>
      <c r="AD991" s="89"/>
      <c r="AE991" s="89"/>
      <c r="AF991" s="89"/>
      <c r="AG991" s="89"/>
      <c r="AH991" s="89"/>
      <c r="AI991" s="89"/>
      <c r="AJ991" s="89"/>
      <c r="AK991" s="89"/>
    </row>
    <row r="992" customFormat="false" ht="15.75" hidden="false" customHeight="true" outlineLevel="0" collapsed="false">
      <c r="A992" s="76"/>
      <c r="B992" s="76"/>
      <c r="C992" s="88"/>
      <c r="D992" s="89"/>
      <c r="E992" s="89"/>
      <c r="F992" s="89"/>
      <c r="G992" s="89"/>
      <c r="H992" s="89"/>
      <c r="I992" s="90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  <c r="AB992" s="89"/>
      <c r="AC992" s="89"/>
      <c r="AD992" s="89"/>
      <c r="AE992" s="89"/>
      <c r="AF992" s="89"/>
      <c r="AG992" s="89"/>
      <c r="AH992" s="89"/>
      <c r="AI992" s="89"/>
      <c r="AJ992" s="89"/>
      <c r="AK992" s="89"/>
    </row>
    <row r="993" customFormat="false" ht="15.75" hidden="false" customHeight="true" outlineLevel="0" collapsed="false">
      <c r="A993" s="76"/>
      <c r="B993" s="76"/>
      <c r="C993" s="88"/>
      <c r="D993" s="89"/>
      <c r="E993" s="89"/>
      <c r="F993" s="89"/>
      <c r="G993" s="89"/>
      <c r="H993" s="89"/>
      <c r="I993" s="90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  <c r="AD993" s="89"/>
      <c r="AE993" s="89"/>
      <c r="AF993" s="89"/>
      <c r="AG993" s="89"/>
      <c r="AH993" s="89"/>
      <c r="AI993" s="89"/>
      <c r="AJ993" s="89"/>
      <c r="AK993" s="89"/>
    </row>
    <row r="994" customFormat="false" ht="15.75" hidden="false" customHeight="true" outlineLevel="0" collapsed="false">
      <c r="A994" s="76"/>
      <c r="B994" s="76"/>
      <c r="C994" s="88"/>
      <c r="D994" s="89"/>
      <c r="E994" s="89"/>
      <c r="F994" s="89"/>
      <c r="G994" s="89"/>
      <c r="H994" s="89"/>
      <c r="I994" s="90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  <c r="AD994" s="89"/>
      <c r="AE994" s="89"/>
      <c r="AF994" s="89"/>
      <c r="AG994" s="89"/>
      <c r="AH994" s="89"/>
      <c r="AI994" s="89"/>
      <c r="AJ994" s="89"/>
      <c r="AK994" s="89"/>
    </row>
    <row r="995" customFormat="false" ht="15.75" hidden="false" customHeight="true" outlineLevel="0" collapsed="false">
      <c r="A995" s="76"/>
      <c r="B995" s="76"/>
      <c r="C995" s="88"/>
      <c r="D995" s="89"/>
      <c r="E995" s="89"/>
      <c r="F995" s="89"/>
      <c r="G995" s="89"/>
      <c r="H995" s="89"/>
      <c r="I995" s="90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  <c r="AD995" s="89"/>
      <c r="AE995" s="89"/>
      <c r="AF995" s="89"/>
      <c r="AG995" s="89"/>
      <c r="AH995" s="89"/>
      <c r="AI995" s="89"/>
      <c r="AJ995" s="89"/>
      <c r="AK995" s="89"/>
    </row>
    <row r="996" customFormat="false" ht="15.75" hidden="false" customHeight="true" outlineLevel="0" collapsed="false">
      <c r="A996" s="76"/>
      <c r="B996" s="76"/>
      <c r="C996" s="88"/>
      <c r="D996" s="89"/>
      <c r="E996" s="89"/>
      <c r="F996" s="89"/>
      <c r="G996" s="89"/>
      <c r="H996" s="89"/>
      <c r="I996" s="90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  <c r="AD996" s="89"/>
      <c r="AE996" s="89"/>
      <c r="AF996" s="89"/>
      <c r="AG996" s="89"/>
      <c r="AH996" s="89"/>
      <c r="AI996" s="89"/>
      <c r="AJ996" s="89"/>
      <c r="AK996" s="89"/>
    </row>
    <row r="997" customFormat="false" ht="15.75" hidden="false" customHeight="true" outlineLevel="0" collapsed="false">
      <c r="A997" s="76"/>
      <c r="B997" s="76"/>
      <c r="C997" s="88"/>
      <c r="D997" s="89"/>
      <c r="E997" s="89"/>
      <c r="F997" s="89"/>
      <c r="G997" s="89"/>
      <c r="H997" s="89"/>
      <c r="I997" s="90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  <c r="AD997" s="89"/>
      <c r="AE997" s="89"/>
      <c r="AF997" s="89"/>
      <c r="AG997" s="89"/>
      <c r="AH997" s="89"/>
      <c r="AI997" s="89"/>
      <c r="AJ997" s="89"/>
      <c r="AK997" s="89"/>
    </row>
    <row r="998" customFormat="false" ht="15.75" hidden="false" customHeight="true" outlineLevel="0" collapsed="false">
      <c r="A998" s="76"/>
      <c r="B998" s="76"/>
      <c r="C998" s="88"/>
      <c r="D998" s="89"/>
      <c r="E998" s="89"/>
      <c r="F998" s="89"/>
      <c r="G998" s="89"/>
      <c r="H998" s="89"/>
      <c r="I998" s="90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  <c r="AD998" s="89"/>
      <c r="AE998" s="89"/>
      <c r="AF998" s="89"/>
      <c r="AG998" s="89"/>
      <c r="AH998" s="89"/>
      <c r="AI998" s="89"/>
      <c r="AJ998" s="89"/>
      <c r="AK998" s="89"/>
    </row>
    <row r="999" customFormat="false" ht="15.75" hidden="false" customHeight="true" outlineLevel="0" collapsed="false">
      <c r="A999" s="76"/>
      <c r="B999" s="76"/>
      <c r="C999" s="88"/>
      <c r="D999" s="89"/>
      <c r="E999" s="89"/>
      <c r="F999" s="89"/>
      <c r="G999" s="89"/>
      <c r="H999" s="89"/>
      <c r="I999" s="90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  <c r="AB999" s="89"/>
      <c r="AC999" s="89"/>
      <c r="AD999" s="89"/>
      <c r="AE999" s="89"/>
      <c r="AF999" s="89"/>
      <c r="AG999" s="89"/>
      <c r="AH999" s="89"/>
      <c r="AI999" s="89"/>
      <c r="AJ999" s="89"/>
      <c r="AK999" s="89"/>
    </row>
    <row r="1000" customFormat="false" ht="15.75" hidden="false" customHeight="true" outlineLevel="0" collapsed="false">
      <c r="A1000" s="76"/>
      <c r="B1000" s="76"/>
      <c r="C1000" s="88"/>
      <c r="D1000" s="89"/>
      <c r="E1000" s="89"/>
      <c r="F1000" s="89"/>
      <c r="G1000" s="89"/>
      <c r="H1000" s="89"/>
      <c r="I1000" s="90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  <c r="AB1000" s="89"/>
      <c r="AC1000" s="89"/>
      <c r="AD1000" s="89"/>
      <c r="AE1000" s="89"/>
      <c r="AF1000" s="89"/>
      <c r="AG1000" s="89"/>
      <c r="AH1000" s="89"/>
      <c r="AI1000" s="89"/>
      <c r="AJ1000" s="89"/>
      <c r="AK1000" s="89"/>
    </row>
    <row r="1001" customFormat="false" ht="15.75" hidden="false" customHeight="true" outlineLevel="0" collapsed="false">
      <c r="A1001" s="76"/>
      <c r="B1001" s="76"/>
      <c r="C1001" s="88"/>
      <c r="D1001" s="89"/>
      <c r="E1001" s="89"/>
      <c r="F1001" s="89"/>
      <c r="G1001" s="89"/>
      <c r="H1001" s="89"/>
      <c r="I1001" s="90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89"/>
      <c r="W1001" s="89"/>
      <c r="X1001" s="89"/>
      <c r="Y1001" s="89"/>
      <c r="Z1001" s="89"/>
      <c r="AA1001" s="89"/>
      <c r="AB1001" s="89"/>
      <c r="AC1001" s="89"/>
      <c r="AD1001" s="89"/>
      <c r="AE1001" s="89"/>
      <c r="AF1001" s="89"/>
      <c r="AG1001" s="89"/>
      <c r="AH1001" s="89"/>
      <c r="AI1001" s="89"/>
      <c r="AJ1001" s="89"/>
      <c r="AK1001" s="89"/>
    </row>
    <row r="1002" customFormat="false" ht="15.75" hidden="false" customHeight="true" outlineLevel="0" collapsed="false">
      <c r="A1002" s="76"/>
      <c r="B1002" s="76"/>
      <c r="C1002" s="88"/>
      <c r="D1002" s="89"/>
      <c r="E1002" s="89"/>
      <c r="F1002" s="89"/>
      <c r="G1002" s="89"/>
      <c r="H1002" s="89"/>
      <c r="I1002" s="90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  <c r="U1002" s="89"/>
      <c r="V1002" s="89"/>
      <c r="W1002" s="89"/>
      <c r="X1002" s="89"/>
      <c r="Y1002" s="89"/>
      <c r="Z1002" s="89"/>
      <c r="AA1002" s="89"/>
      <c r="AB1002" s="89"/>
      <c r="AC1002" s="89"/>
      <c r="AD1002" s="89"/>
      <c r="AE1002" s="89"/>
      <c r="AF1002" s="89"/>
      <c r="AG1002" s="89"/>
      <c r="AH1002" s="89"/>
      <c r="AI1002" s="89"/>
      <c r="AJ1002" s="89"/>
      <c r="AK1002" s="89"/>
    </row>
    <row r="1003" customFormat="false" ht="15.75" hidden="false" customHeight="true" outlineLevel="0" collapsed="false">
      <c r="A1003" s="76"/>
      <c r="B1003" s="76"/>
      <c r="C1003" s="88"/>
      <c r="D1003" s="89"/>
      <c r="E1003" s="89"/>
      <c r="F1003" s="89"/>
      <c r="G1003" s="89"/>
      <c r="H1003" s="89"/>
      <c r="I1003" s="90"/>
      <c r="J1003" s="89"/>
      <c r="K1003" s="89"/>
      <c r="L1003" s="89"/>
      <c r="M1003" s="89"/>
      <c r="N1003" s="89"/>
      <c r="O1003" s="89"/>
      <c r="P1003" s="89"/>
      <c r="Q1003" s="89"/>
      <c r="R1003" s="89"/>
      <c r="S1003" s="89"/>
      <c r="T1003" s="89"/>
      <c r="U1003" s="89"/>
      <c r="V1003" s="89"/>
      <c r="W1003" s="89"/>
      <c r="X1003" s="89"/>
      <c r="Y1003" s="89"/>
      <c r="Z1003" s="89"/>
      <c r="AA1003" s="89"/>
      <c r="AB1003" s="89"/>
      <c r="AC1003" s="89"/>
      <c r="AD1003" s="89"/>
      <c r="AE1003" s="89"/>
      <c r="AF1003" s="89"/>
      <c r="AG1003" s="89"/>
      <c r="AH1003" s="89"/>
      <c r="AI1003" s="89"/>
      <c r="AJ1003" s="89"/>
      <c r="AK1003" s="89"/>
    </row>
    <row r="1004" customFormat="false" ht="15.75" hidden="false" customHeight="true" outlineLevel="0" collapsed="false">
      <c r="A1004" s="76"/>
      <c r="B1004" s="76"/>
      <c r="C1004" s="88"/>
      <c r="D1004" s="89"/>
      <c r="E1004" s="89"/>
      <c r="F1004" s="89"/>
      <c r="G1004" s="89"/>
      <c r="H1004" s="89"/>
      <c r="I1004" s="90"/>
      <c r="J1004" s="89"/>
      <c r="K1004" s="89"/>
      <c r="L1004" s="89"/>
      <c r="M1004" s="89"/>
      <c r="N1004" s="89"/>
      <c r="O1004" s="89"/>
      <c r="P1004" s="89"/>
      <c r="Q1004" s="89"/>
      <c r="R1004" s="89"/>
      <c r="S1004" s="89"/>
      <c r="T1004" s="89"/>
      <c r="U1004" s="89"/>
      <c r="V1004" s="89"/>
      <c r="W1004" s="89"/>
      <c r="X1004" s="89"/>
      <c r="Y1004" s="89"/>
      <c r="Z1004" s="89"/>
      <c r="AA1004" s="89"/>
      <c r="AB1004" s="89"/>
      <c r="AC1004" s="89"/>
      <c r="AD1004" s="89"/>
      <c r="AE1004" s="89"/>
      <c r="AF1004" s="89"/>
      <c r="AG1004" s="89"/>
      <c r="AH1004" s="89"/>
      <c r="AI1004" s="89"/>
      <c r="AJ1004" s="89"/>
      <c r="AK1004" s="89"/>
    </row>
    <row r="1005" customFormat="false" ht="15.75" hidden="false" customHeight="true" outlineLevel="0" collapsed="false">
      <c r="A1005" s="76"/>
      <c r="B1005" s="76"/>
      <c r="C1005" s="88"/>
      <c r="D1005" s="89"/>
      <c r="E1005" s="89"/>
      <c r="F1005" s="89"/>
      <c r="G1005" s="89"/>
      <c r="H1005" s="89"/>
      <c r="I1005" s="90"/>
      <c r="J1005" s="89"/>
      <c r="K1005" s="89"/>
      <c r="L1005" s="89"/>
      <c r="M1005" s="89"/>
      <c r="N1005" s="89"/>
      <c r="O1005" s="89"/>
      <c r="P1005" s="89"/>
      <c r="Q1005" s="89"/>
      <c r="R1005" s="89"/>
      <c r="S1005" s="89"/>
      <c r="T1005" s="89"/>
      <c r="U1005" s="89"/>
      <c r="V1005" s="89"/>
      <c r="W1005" s="89"/>
      <c r="X1005" s="89"/>
      <c r="Y1005" s="89"/>
      <c r="Z1005" s="89"/>
      <c r="AA1005" s="89"/>
      <c r="AB1005" s="89"/>
      <c r="AC1005" s="89"/>
      <c r="AD1005" s="89"/>
      <c r="AE1005" s="89"/>
      <c r="AF1005" s="89"/>
      <c r="AG1005" s="89"/>
      <c r="AH1005" s="89"/>
      <c r="AI1005" s="89"/>
      <c r="AJ1005" s="89"/>
      <c r="AK1005" s="89"/>
    </row>
    <row r="1006" customFormat="false" ht="15.75" hidden="false" customHeight="true" outlineLevel="0" collapsed="false">
      <c r="A1006" s="76"/>
      <c r="B1006" s="76"/>
      <c r="C1006" s="88"/>
      <c r="D1006" s="89"/>
      <c r="E1006" s="89"/>
      <c r="F1006" s="89"/>
      <c r="G1006" s="89"/>
      <c r="H1006" s="89"/>
      <c r="I1006" s="90"/>
      <c r="J1006" s="89"/>
      <c r="K1006" s="89"/>
      <c r="L1006" s="89"/>
      <c r="M1006" s="89"/>
      <c r="N1006" s="89"/>
      <c r="O1006" s="89"/>
      <c r="P1006" s="89"/>
      <c r="Q1006" s="89"/>
      <c r="R1006" s="89"/>
      <c r="S1006" s="89"/>
      <c r="T1006" s="89"/>
      <c r="U1006" s="89"/>
      <c r="V1006" s="89"/>
      <c r="W1006" s="89"/>
      <c r="X1006" s="89"/>
      <c r="Y1006" s="89"/>
      <c r="Z1006" s="89"/>
      <c r="AA1006" s="89"/>
      <c r="AB1006" s="89"/>
      <c r="AC1006" s="89"/>
      <c r="AD1006" s="89"/>
      <c r="AE1006" s="89"/>
      <c r="AF1006" s="89"/>
      <c r="AG1006" s="89"/>
      <c r="AH1006" s="89"/>
      <c r="AI1006" s="89"/>
      <c r="AJ1006" s="89"/>
      <c r="AK1006" s="89"/>
    </row>
    <row r="1007" customFormat="false" ht="15.75" hidden="false" customHeight="true" outlineLevel="0" collapsed="false">
      <c r="A1007" s="76"/>
      <c r="B1007" s="76"/>
      <c r="C1007" s="88"/>
      <c r="D1007" s="89"/>
      <c r="E1007" s="89"/>
      <c r="F1007" s="89"/>
      <c r="G1007" s="89"/>
      <c r="H1007" s="89"/>
      <c r="I1007" s="90"/>
      <c r="J1007" s="89"/>
      <c r="K1007" s="89"/>
      <c r="L1007" s="89"/>
      <c r="M1007" s="89"/>
      <c r="N1007" s="89"/>
      <c r="O1007" s="89"/>
      <c r="P1007" s="89"/>
      <c r="Q1007" s="89"/>
      <c r="R1007" s="89"/>
      <c r="S1007" s="89"/>
      <c r="T1007" s="89"/>
      <c r="U1007" s="89"/>
      <c r="V1007" s="89"/>
      <c r="W1007" s="89"/>
      <c r="X1007" s="89"/>
      <c r="Y1007" s="89"/>
      <c r="Z1007" s="89"/>
      <c r="AA1007" s="89"/>
      <c r="AB1007" s="89"/>
      <c r="AC1007" s="89"/>
      <c r="AD1007" s="89"/>
      <c r="AE1007" s="89"/>
      <c r="AF1007" s="89"/>
      <c r="AG1007" s="89"/>
      <c r="AH1007" s="89"/>
      <c r="AI1007" s="89"/>
      <c r="AJ1007" s="89"/>
      <c r="AK1007" s="89"/>
    </row>
    <row r="1008" customFormat="false" ht="15.75" hidden="false" customHeight="true" outlineLevel="0" collapsed="false">
      <c r="A1008" s="76"/>
      <c r="B1008" s="76"/>
      <c r="C1008" s="88"/>
      <c r="D1008" s="89"/>
      <c r="E1008" s="89"/>
      <c r="F1008" s="89"/>
      <c r="G1008" s="89"/>
      <c r="H1008" s="89"/>
      <c r="I1008" s="90"/>
      <c r="J1008" s="89"/>
      <c r="K1008" s="89"/>
      <c r="L1008" s="89"/>
      <c r="M1008" s="89"/>
      <c r="N1008" s="89"/>
      <c r="O1008" s="89"/>
      <c r="P1008" s="89"/>
      <c r="Q1008" s="89"/>
      <c r="R1008" s="89"/>
      <c r="S1008" s="89"/>
      <c r="T1008" s="89"/>
      <c r="U1008" s="89"/>
      <c r="V1008" s="89"/>
      <c r="W1008" s="89"/>
      <c r="X1008" s="89"/>
      <c r="Y1008" s="89"/>
      <c r="Z1008" s="89"/>
      <c r="AA1008" s="89"/>
      <c r="AB1008" s="89"/>
      <c r="AC1008" s="89"/>
      <c r="AD1008" s="89"/>
      <c r="AE1008" s="89"/>
      <c r="AF1008" s="89"/>
      <c r="AG1008" s="89"/>
      <c r="AH1008" s="89"/>
      <c r="AI1008" s="89"/>
      <c r="AJ1008" s="89"/>
      <c r="AK1008" s="89"/>
    </row>
    <row r="1009" customFormat="false" ht="15.75" hidden="false" customHeight="true" outlineLevel="0" collapsed="false">
      <c r="A1009" s="76"/>
      <c r="B1009" s="76"/>
      <c r="C1009" s="88"/>
      <c r="D1009" s="89"/>
      <c r="E1009" s="89"/>
      <c r="F1009" s="89"/>
      <c r="G1009" s="89"/>
      <c r="H1009" s="89"/>
      <c r="I1009" s="90"/>
      <c r="J1009" s="89"/>
      <c r="K1009" s="89"/>
      <c r="L1009" s="89"/>
      <c r="M1009" s="89"/>
      <c r="N1009" s="89"/>
      <c r="O1009" s="89"/>
      <c r="P1009" s="89"/>
      <c r="Q1009" s="89"/>
      <c r="R1009" s="89"/>
      <c r="S1009" s="89"/>
      <c r="T1009" s="89"/>
      <c r="U1009" s="89"/>
      <c r="V1009" s="89"/>
      <c r="W1009" s="89"/>
      <c r="X1009" s="89"/>
      <c r="Y1009" s="89"/>
      <c r="Z1009" s="89"/>
      <c r="AA1009" s="89"/>
      <c r="AB1009" s="89"/>
      <c r="AC1009" s="89"/>
      <c r="AD1009" s="89"/>
      <c r="AE1009" s="89"/>
      <c r="AF1009" s="89"/>
      <c r="AG1009" s="89"/>
      <c r="AH1009" s="89"/>
      <c r="AI1009" s="89"/>
      <c r="AJ1009" s="89"/>
      <c r="AK1009" s="89"/>
    </row>
    <row r="1010" customFormat="false" ht="15.75" hidden="false" customHeight="true" outlineLevel="0" collapsed="false">
      <c r="A1010" s="76"/>
      <c r="B1010" s="76"/>
      <c r="C1010" s="88"/>
      <c r="D1010" s="89"/>
      <c r="E1010" s="89"/>
      <c r="F1010" s="89"/>
      <c r="G1010" s="89"/>
      <c r="H1010" s="89"/>
      <c r="I1010" s="90"/>
      <c r="J1010" s="89"/>
      <c r="K1010" s="89"/>
      <c r="L1010" s="89"/>
      <c r="M1010" s="89"/>
      <c r="N1010" s="89"/>
      <c r="O1010" s="89"/>
      <c r="P1010" s="89"/>
      <c r="Q1010" s="89"/>
      <c r="R1010" s="89"/>
      <c r="S1010" s="89"/>
      <c r="T1010" s="89"/>
      <c r="U1010" s="89"/>
      <c r="V1010" s="89"/>
      <c r="W1010" s="89"/>
      <c r="X1010" s="89"/>
      <c r="Y1010" s="89"/>
      <c r="Z1010" s="89"/>
      <c r="AA1010" s="89"/>
      <c r="AB1010" s="89"/>
      <c r="AC1010" s="89"/>
      <c r="AD1010" s="89"/>
      <c r="AE1010" s="89"/>
      <c r="AF1010" s="89"/>
      <c r="AG1010" s="89"/>
      <c r="AH1010" s="89"/>
      <c r="AI1010" s="89"/>
      <c r="AJ1010" s="89"/>
      <c r="AK1010" s="89"/>
    </row>
    <row r="1011" customFormat="false" ht="15.75" hidden="false" customHeight="true" outlineLevel="0" collapsed="false">
      <c r="A1011" s="76"/>
      <c r="B1011" s="76"/>
      <c r="C1011" s="88"/>
      <c r="D1011" s="89"/>
      <c r="E1011" s="89"/>
      <c r="F1011" s="89"/>
      <c r="G1011" s="89"/>
      <c r="H1011" s="89"/>
      <c r="I1011" s="90"/>
      <c r="J1011" s="89"/>
      <c r="K1011" s="89"/>
      <c r="L1011" s="89"/>
      <c r="M1011" s="89"/>
      <c r="N1011" s="89"/>
      <c r="O1011" s="89"/>
      <c r="P1011" s="89"/>
      <c r="Q1011" s="89"/>
      <c r="R1011" s="89"/>
      <c r="S1011" s="89"/>
      <c r="T1011" s="89"/>
      <c r="U1011" s="89"/>
      <c r="V1011" s="89"/>
      <c r="W1011" s="89"/>
      <c r="X1011" s="89"/>
      <c r="Y1011" s="89"/>
      <c r="Z1011" s="89"/>
      <c r="AA1011" s="89"/>
      <c r="AB1011" s="89"/>
      <c r="AC1011" s="89"/>
      <c r="AD1011" s="89"/>
      <c r="AE1011" s="89"/>
      <c r="AF1011" s="89"/>
      <c r="AG1011" s="89"/>
      <c r="AH1011" s="89"/>
      <c r="AI1011" s="89"/>
      <c r="AJ1011" s="89"/>
      <c r="AK1011" s="89"/>
    </row>
    <row r="1012" customFormat="false" ht="15.75" hidden="false" customHeight="true" outlineLevel="0" collapsed="false">
      <c r="A1012" s="76"/>
      <c r="B1012" s="76"/>
      <c r="C1012" s="88"/>
      <c r="D1012" s="89"/>
      <c r="E1012" s="89"/>
      <c r="F1012" s="89"/>
      <c r="G1012" s="89"/>
      <c r="H1012" s="89"/>
      <c r="I1012" s="90"/>
      <c r="J1012" s="89"/>
      <c r="K1012" s="89"/>
      <c r="L1012" s="89"/>
      <c r="M1012" s="89"/>
      <c r="N1012" s="89"/>
      <c r="O1012" s="89"/>
      <c r="P1012" s="89"/>
      <c r="Q1012" s="89"/>
      <c r="R1012" s="89"/>
      <c r="S1012" s="89"/>
      <c r="T1012" s="89"/>
      <c r="U1012" s="89"/>
      <c r="V1012" s="89"/>
      <c r="W1012" s="89"/>
      <c r="X1012" s="89"/>
      <c r="Y1012" s="89"/>
      <c r="Z1012" s="89"/>
      <c r="AA1012" s="89"/>
      <c r="AB1012" s="89"/>
      <c r="AC1012" s="89"/>
      <c r="AD1012" s="89"/>
      <c r="AE1012" s="89"/>
      <c r="AF1012" s="89"/>
      <c r="AG1012" s="89"/>
      <c r="AH1012" s="89"/>
      <c r="AI1012" s="89"/>
      <c r="AJ1012" s="89"/>
      <c r="AK1012" s="89"/>
    </row>
    <row r="1013" customFormat="false" ht="15.75" hidden="false" customHeight="true" outlineLevel="0" collapsed="false">
      <c r="A1013" s="76"/>
      <c r="B1013" s="76"/>
      <c r="C1013" s="88"/>
      <c r="D1013" s="89"/>
      <c r="E1013" s="89"/>
      <c r="F1013" s="89"/>
      <c r="G1013" s="89"/>
      <c r="H1013" s="89"/>
      <c r="I1013" s="90"/>
      <c r="J1013" s="89"/>
      <c r="K1013" s="89"/>
      <c r="L1013" s="89"/>
      <c r="M1013" s="89"/>
      <c r="N1013" s="89"/>
      <c r="O1013" s="89"/>
      <c r="P1013" s="89"/>
      <c r="Q1013" s="89"/>
      <c r="R1013" s="89"/>
      <c r="S1013" s="89"/>
      <c r="T1013" s="89"/>
      <c r="U1013" s="89"/>
      <c r="V1013" s="89"/>
      <c r="W1013" s="89"/>
      <c r="X1013" s="89"/>
      <c r="Y1013" s="89"/>
      <c r="Z1013" s="89"/>
      <c r="AA1013" s="89"/>
      <c r="AB1013" s="89"/>
      <c r="AC1013" s="89"/>
      <c r="AD1013" s="89"/>
      <c r="AE1013" s="89"/>
      <c r="AF1013" s="89"/>
      <c r="AG1013" s="89"/>
      <c r="AH1013" s="89"/>
      <c r="AI1013" s="89"/>
      <c r="AJ1013" s="89"/>
      <c r="AK1013" s="89"/>
    </row>
    <row r="1014" customFormat="false" ht="15.75" hidden="false" customHeight="true" outlineLevel="0" collapsed="false">
      <c r="A1014" s="76"/>
      <c r="B1014" s="76"/>
      <c r="C1014" s="88"/>
      <c r="D1014" s="89"/>
      <c r="E1014" s="89"/>
      <c r="F1014" s="89"/>
      <c r="G1014" s="89"/>
      <c r="H1014" s="89"/>
      <c r="I1014" s="90"/>
      <c r="J1014" s="89"/>
      <c r="K1014" s="89"/>
      <c r="L1014" s="89"/>
      <c r="M1014" s="89"/>
      <c r="N1014" s="89"/>
      <c r="O1014" s="89"/>
      <c r="P1014" s="89"/>
      <c r="Q1014" s="89"/>
      <c r="R1014" s="89"/>
      <c r="S1014" s="89"/>
      <c r="T1014" s="89"/>
      <c r="U1014" s="89"/>
      <c r="V1014" s="89"/>
      <c r="W1014" s="89"/>
      <c r="X1014" s="89"/>
      <c r="Y1014" s="89"/>
      <c r="Z1014" s="89"/>
      <c r="AA1014" s="89"/>
      <c r="AB1014" s="89"/>
      <c r="AC1014" s="89"/>
      <c r="AD1014" s="89"/>
      <c r="AE1014" s="89"/>
      <c r="AF1014" s="89"/>
      <c r="AG1014" s="89"/>
      <c r="AH1014" s="89"/>
      <c r="AI1014" s="89"/>
      <c r="AJ1014" s="89"/>
      <c r="AK1014" s="89"/>
    </row>
    <row r="1015" customFormat="false" ht="15.75" hidden="false" customHeight="true" outlineLevel="0" collapsed="false">
      <c r="A1015" s="76"/>
      <c r="B1015" s="76"/>
      <c r="C1015" s="88"/>
      <c r="D1015" s="89"/>
      <c r="E1015" s="89"/>
      <c r="F1015" s="89"/>
      <c r="G1015" s="89"/>
      <c r="H1015" s="89"/>
      <c r="I1015" s="90"/>
      <c r="J1015" s="89"/>
      <c r="K1015" s="89"/>
      <c r="L1015" s="89"/>
      <c r="M1015" s="89"/>
      <c r="N1015" s="89"/>
      <c r="O1015" s="89"/>
      <c r="P1015" s="89"/>
      <c r="Q1015" s="89"/>
      <c r="R1015" s="89"/>
      <c r="S1015" s="89"/>
      <c r="T1015" s="89"/>
      <c r="U1015" s="89"/>
      <c r="V1015" s="89"/>
      <c r="W1015" s="89"/>
      <c r="X1015" s="89"/>
      <c r="Y1015" s="89"/>
      <c r="Z1015" s="89"/>
      <c r="AA1015" s="89"/>
      <c r="AB1015" s="89"/>
      <c r="AC1015" s="89"/>
      <c r="AD1015" s="89"/>
      <c r="AE1015" s="89"/>
      <c r="AF1015" s="89"/>
      <c r="AG1015" s="89"/>
      <c r="AH1015" s="89"/>
      <c r="AI1015" s="89"/>
      <c r="AJ1015" s="89"/>
      <c r="AK1015" s="89"/>
    </row>
    <row r="1016" customFormat="false" ht="15.75" hidden="false" customHeight="true" outlineLevel="0" collapsed="false">
      <c r="A1016" s="76"/>
      <c r="B1016" s="76"/>
      <c r="C1016" s="88"/>
      <c r="D1016" s="89"/>
      <c r="E1016" s="89"/>
      <c r="F1016" s="89"/>
      <c r="G1016" s="89"/>
      <c r="H1016" s="89"/>
      <c r="I1016" s="90"/>
      <c r="J1016" s="89"/>
      <c r="K1016" s="89"/>
      <c r="L1016" s="89"/>
      <c r="M1016" s="89"/>
      <c r="N1016" s="89"/>
      <c r="O1016" s="89"/>
      <c r="P1016" s="89"/>
      <c r="Q1016" s="89"/>
      <c r="R1016" s="89"/>
      <c r="S1016" s="89"/>
      <c r="T1016" s="89"/>
      <c r="U1016" s="89"/>
      <c r="V1016" s="89"/>
      <c r="W1016" s="89"/>
      <c r="X1016" s="89"/>
      <c r="Y1016" s="89"/>
      <c r="Z1016" s="89"/>
      <c r="AA1016" s="89"/>
      <c r="AB1016" s="89"/>
      <c r="AC1016" s="89"/>
      <c r="AD1016" s="89"/>
      <c r="AE1016" s="89"/>
      <c r="AF1016" s="89"/>
      <c r="AG1016" s="89"/>
      <c r="AH1016" s="89"/>
      <c r="AI1016" s="89"/>
      <c r="AJ1016" s="89"/>
      <c r="AK1016" s="89"/>
    </row>
    <row r="1017" customFormat="false" ht="15.75" hidden="false" customHeight="true" outlineLevel="0" collapsed="false">
      <c r="A1017" s="76"/>
      <c r="B1017" s="76"/>
      <c r="C1017" s="88"/>
      <c r="D1017" s="89"/>
      <c r="E1017" s="89"/>
      <c r="F1017" s="89"/>
      <c r="G1017" s="89"/>
      <c r="H1017" s="89"/>
      <c r="I1017" s="90"/>
      <c r="J1017" s="89"/>
      <c r="K1017" s="89"/>
      <c r="L1017" s="89"/>
      <c r="M1017" s="89"/>
      <c r="N1017" s="89"/>
      <c r="O1017" s="89"/>
      <c r="P1017" s="89"/>
      <c r="Q1017" s="89"/>
      <c r="R1017" s="89"/>
      <c r="S1017" s="89"/>
      <c r="T1017" s="89"/>
      <c r="U1017" s="89"/>
      <c r="V1017" s="89"/>
      <c r="W1017" s="89"/>
      <c r="X1017" s="89"/>
      <c r="Y1017" s="89"/>
      <c r="Z1017" s="89"/>
      <c r="AA1017" s="89"/>
      <c r="AB1017" s="89"/>
      <c r="AC1017" s="89"/>
      <c r="AD1017" s="89"/>
      <c r="AE1017" s="89"/>
      <c r="AF1017" s="89"/>
      <c r="AG1017" s="89"/>
      <c r="AH1017" s="89"/>
      <c r="AI1017" s="89"/>
      <c r="AJ1017" s="89"/>
      <c r="AK1017" s="89"/>
    </row>
    <row r="1018" customFormat="false" ht="15.75" hidden="false" customHeight="true" outlineLevel="0" collapsed="false">
      <c r="A1018" s="76"/>
      <c r="B1018" s="76"/>
      <c r="C1018" s="88"/>
      <c r="D1018" s="89"/>
      <c r="E1018" s="89"/>
      <c r="F1018" s="89"/>
      <c r="G1018" s="89"/>
      <c r="H1018" s="89"/>
      <c r="I1018" s="90"/>
      <c r="J1018" s="89"/>
      <c r="K1018" s="89"/>
      <c r="L1018" s="89"/>
      <c r="M1018" s="89"/>
      <c r="N1018" s="89"/>
      <c r="O1018" s="89"/>
      <c r="P1018" s="89"/>
      <c r="Q1018" s="89"/>
      <c r="R1018" s="89"/>
      <c r="S1018" s="89"/>
      <c r="T1018" s="89"/>
      <c r="U1018" s="89"/>
      <c r="V1018" s="89"/>
      <c r="W1018" s="89"/>
      <c r="X1018" s="89"/>
      <c r="Y1018" s="89"/>
      <c r="Z1018" s="89"/>
      <c r="AA1018" s="89"/>
      <c r="AB1018" s="89"/>
      <c r="AC1018" s="89"/>
      <c r="AD1018" s="89"/>
      <c r="AE1018" s="89"/>
      <c r="AF1018" s="89"/>
      <c r="AG1018" s="89"/>
      <c r="AH1018" s="89"/>
      <c r="AI1018" s="89"/>
      <c r="AJ1018" s="89"/>
      <c r="AK1018" s="89"/>
    </row>
    <row r="1019" customFormat="false" ht="15.75" hidden="false" customHeight="true" outlineLevel="0" collapsed="false">
      <c r="A1019" s="76"/>
      <c r="B1019" s="76"/>
      <c r="C1019" s="88"/>
      <c r="D1019" s="89"/>
      <c r="E1019" s="89"/>
      <c r="F1019" s="89"/>
      <c r="G1019" s="89"/>
      <c r="H1019" s="89"/>
      <c r="I1019" s="90"/>
      <c r="J1019" s="89"/>
      <c r="K1019" s="89"/>
      <c r="L1019" s="89"/>
      <c r="M1019" s="89"/>
      <c r="N1019" s="89"/>
      <c r="O1019" s="89"/>
      <c r="P1019" s="89"/>
      <c r="Q1019" s="89"/>
      <c r="R1019" s="89"/>
      <c r="S1019" s="89"/>
      <c r="T1019" s="89"/>
      <c r="U1019" s="89"/>
      <c r="V1019" s="89"/>
      <c r="W1019" s="89"/>
      <c r="X1019" s="89"/>
      <c r="Y1019" s="89"/>
      <c r="Z1019" s="89"/>
      <c r="AA1019" s="89"/>
      <c r="AB1019" s="89"/>
      <c r="AC1019" s="89"/>
      <c r="AD1019" s="89"/>
      <c r="AE1019" s="89"/>
      <c r="AF1019" s="89"/>
      <c r="AG1019" s="89"/>
      <c r="AH1019" s="89"/>
      <c r="AI1019" s="89"/>
      <c r="AJ1019" s="89"/>
      <c r="AK1019" s="89"/>
    </row>
    <row r="1020" customFormat="false" ht="15.75" hidden="false" customHeight="true" outlineLevel="0" collapsed="false">
      <c r="A1020" s="76"/>
      <c r="B1020" s="76"/>
      <c r="C1020" s="88"/>
      <c r="D1020" s="89"/>
      <c r="E1020" s="89"/>
      <c r="F1020" s="89"/>
      <c r="G1020" s="89"/>
      <c r="H1020" s="89"/>
      <c r="I1020" s="90"/>
      <c r="J1020" s="89"/>
      <c r="K1020" s="89"/>
      <c r="L1020" s="89"/>
      <c r="M1020" s="89"/>
      <c r="N1020" s="89"/>
      <c r="O1020" s="89"/>
      <c r="P1020" s="89"/>
      <c r="Q1020" s="89"/>
      <c r="R1020" s="89"/>
      <c r="S1020" s="89"/>
      <c r="T1020" s="89"/>
      <c r="U1020" s="89"/>
      <c r="V1020" s="89"/>
      <c r="W1020" s="89"/>
      <c r="X1020" s="89"/>
      <c r="Y1020" s="89"/>
      <c r="Z1020" s="89"/>
      <c r="AA1020" s="89"/>
      <c r="AB1020" s="89"/>
      <c r="AC1020" s="89"/>
      <c r="AD1020" s="89"/>
      <c r="AE1020" s="89"/>
      <c r="AF1020" s="89"/>
      <c r="AG1020" s="89"/>
      <c r="AH1020" s="89"/>
      <c r="AI1020" s="89"/>
      <c r="AJ1020" s="89"/>
      <c r="AK1020" s="89"/>
    </row>
    <row r="1021" customFormat="false" ht="15.75" hidden="false" customHeight="true" outlineLevel="0" collapsed="false">
      <c r="A1021" s="76"/>
      <c r="B1021" s="76"/>
      <c r="C1021" s="88"/>
      <c r="D1021" s="89"/>
      <c r="E1021" s="89"/>
      <c r="F1021" s="89"/>
      <c r="G1021" s="89"/>
      <c r="H1021" s="89"/>
      <c r="I1021" s="90"/>
      <c r="J1021" s="89"/>
      <c r="K1021" s="89"/>
      <c r="L1021" s="89"/>
      <c r="M1021" s="89"/>
      <c r="N1021" s="89"/>
      <c r="O1021" s="89"/>
      <c r="P1021" s="89"/>
      <c r="Q1021" s="89"/>
      <c r="R1021" s="89"/>
      <c r="S1021" s="89"/>
      <c r="T1021" s="89"/>
      <c r="U1021" s="89"/>
      <c r="V1021" s="89"/>
      <c r="W1021" s="89"/>
      <c r="X1021" s="89"/>
      <c r="Y1021" s="89"/>
      <c r="Z1021" s="89"/>
      <c r="AA1021" s="89"/>
      <c r="AB1021" s="89"/>
      <c r="AC1021" s="89"/>
      <c r="AD1021" s="89"/>
      <c r="AE1021" s="89"/>
      <c r="AF1021" s="89"/>
      <c r="AG1021" s="89"/>
      <c r="AH1021" s="89"/>
      <c r="AI1021" s="89"/>
      <c r="AJ1021" s="89"/>
      <c r="AK1021" s="89"/>
    </row>
    <row r="1022" customFormat="false" ht="15.75" hidden="false" customHeight="true" outlineLevel="0" collapsed="false">
      <c r="A1022" s="76"/>
      <c r="B1022" s="76"/>
      <c r="C1022" s="88"/>
      <c r="D1022" s="89"/>
      <c r="E1022" s="89"/>
      <c r="F1022" s="89"/>
      <c r="G1022" s="89"/>
      <c r="H1022" s="89"/>
      <c r="I1022" s="90"/>
      <c r="J1022" s="89"/>
      <c r="K1022" s="89"/>
      <c r="L1022" s="89"/>
      <c r="M1022" s="89"/>
      <c r="N1022" s="89"/>
      <c r="O1022" s="89"/>
      <c r="P1022" s="89"/>
      <c r="Q1022" s="89"/>
      <c r="R1022" s="89"/>
      <c r="S1022" s="89"/>
      <c r="T1022" s="89"/>
      <c r="U1022" s="89"/>
      <c r="V1022" s="89"/>
      <c r="W1022" s="89"/>
      <c r="X1022" s="89"/>
      <c r="Y1022" s="89"/>
      <c r="Z1022" s="89"/>
      <c r="AA1022" s="89"/>
      <c r="AB1022" s="89"/>
      <c r="AC1022" s="89"/>
      <c r="AD1022" s="89"/>
      <c r="AE1022" s="89"/>
      <c r="AF1022" s="89"/>
      <c r="AG1022" s="89"/>
      <c r="AH1022" s="89"/>
      <c r="AI1022" s="89"/>
      <c r="AJ1022" s="89"/>
      <c r="AK1022" s="89"/>
    </row>
    <row r="1023" customFormat="false" ht="15.75" hidden="false" customHeight="true" outlineLevel="0" collapsed="false">
      <c r="A1023" s="76"/>
      <c r="B1023" s="76"/>
      <c r="C1023" s="88"/>
      <c r="D1023" s="89"/>
      <c r="E1023" s="89"/>
      <c r="F1023" s="89"/>
      <c r="G1023" s="89"/>
      <c r="H1023" s="89"/>
      <c r="I1023" s="90"/>
      <c r="J1023" s="89"/>
      <c r="K1023" s="89"/>
      <c r="L1023" s="89"/>
      <c r="M1023" s="89"/>
      <c r="N1023" s="89"/>
      <c r="O1023" s="89"/>
      <c r="P1023" s="89"/>
      <c r="Q1023" s="89"/>
      <c r="R1023" s="89"/>
      <c r="S1023" s="89"/>
      <c r="T1023" s="89"/>
      <c r="U1023" s="89"/>
      <c r="V1023" s="89"/>
      <c r="W1023" s="89"/>
      <c r="X1023" s="89"/>
      <c r="Y1023" s="89"/>
      <c r="Z1023" s="89"/>
      <c r="AA1023" s="89"/>
      <c r="AB1023" s="89"/>
      <c r="AC1023" s="89"/>
      <c r="AD1023" s="89"/>
      <c r="AE1023" s="89"/>
      <c r="AF1023" s="89"/>
      <c r="AG1023" s="89"/>
      <c r="AH1023" s="89"/>
      <c r="AI1023" s="89"/>
      <c r="AJ1023" s="89"/>
      <c r="AK1023" s="89"/>
    </row>
    <row r="1024" customFormat="false" ht="15.75" hidden="false" customHeight="true" outlineLevel="0" collapsed="false">
      <c r="A1024" s="76"/>
      <c r="B1024" s="76"/>
      <c r="C1024" s="88"/>
      <c r="D1024" s="89"/>
      <c r="E1024" s="89"/>
      <c r="F1024" s="89"/>
      <c r="G1024" s="89"/>
      <c r="H1024" s="89"/>
      <c r="I1024" s="90"/>
      <c r="J1024" s="89"/>
      <c r="K1024" s="89"/>
      <c r="L1024" s="89"/>
      <c r="M1024" s="89"/>
      <c r="N1024" s="89"/>
      <c r="O1024" s="89"/>
      <c r="P1024" s="89"/>
      <c r="Q1024" s="89"/>
      <c r="R1024" s="89"/>
      <c r="S1024" s="89"/>
      <c r="T1024" s="89"/>
      <c r="U1024" s="89"/>
      <c r="V1024" s="89"/>
      <c r="W1024" s="89"/>
      <c r="X1024" s="89"/>
      <c r="Y1024" s="89"/>
      <c r="Z1024" s="89"/>
      <c r="AA1024" s="89"/>
      <c r="AB1024" s="89"/>
      <c r="AC1024" s="89"/>
      <c r="AD1024" s="89"/>
      <c r="AE1024" s="89"/>
      <c r="AF1024" s="89"/>
      <c r="AG1024" s="89"/>
      <c r="AH1024" s="89"/>
      <c r="AI1024" s="89"/>
      <c r="AJ1024" s="89"/>
      <c r="AK1024" s="89"/>
    </row>
    <row r="1025" customFormat="false" ht="15.75" hidden="false" customHeight="true" outlineLevel="0" collapsed="false">
      <c r="A1025" s="76"/>
      <c r="B1025" s="76"/>
      <c r="C1025" s="88"/>
      <c r="D1025" s="89"/>
      <c r="E1025" s="89"/>
      <c r="F1025" s="89"/>
      <c r="G1025" s="89"/>
      <c r="H1025" s="89"/>
      <c r="I1025" s="90"/>
      <c r="J1025" s="89"/>
      <c r="K1025" s="89"/>
      <c r="L1025" s="89"/>
      <c r="M1025" s="89"/>
      <c r="N1025" s="89"/>
      <c r="O1025" s="89"/>
      <c r="P1025" s="89"/>
      <c r="Q1025" s="89"/>
      <c r="R1025" s="89"/>
      <c r="S1025" s="89"/>
      <c r="T1025" s="89"/>
      <c r="U1025" s="89"/>
      <c r="V1025" s="89"/>
      <c r="W1025" s="89"/>
      <c r="X1025" s="89"/>
      <c r="Y1025" s="89"/>
      <c r="Z1025" s="89"/>
      <c r="AA1025" s="89"/>
      <c r="AB1025" s="89"/>
      <c r="AC1025" s="89"/>
      <c r="AD1025" s="89"/>
      <c r="AE1025" s="89"/>
      <c r="AF1025" s="89"/>
      <c r="AG1025" s="89"/>
      <c r="AH1025" s="89"/>
      <c r="AI1025" s="89"/>
      <c r="AJ1025" s="89"/>
      <c r="AK1025" s="89"/>
    </row>
    <row r="1026" customFormat="false" ht="15.75" hidden="false" customHeight="true" outlineLevel="0" collapsed="false">
      <c r="A1026" s="76"/>
      <c r="B1026" s="76"/>
      <c r="C1026" s="88"/>
      <c r="D1026" s="89"/>
      <c r="E1026" s="89"/>
      <c r="F1026" s="89"/>
      <c r="G1026" s="89"/>
      <c r="H1026" s="89"/>
      <c r="I1026" s="90"/>
      <c r="J1026" s="89"/>
      <c r="K1026" s="89"/>
      <c r="L1026" s="89"/>
      <c r="M1026" s="89"/>
      <c r="N1026" s="89"/>
      <c r="O1026" s="89"/>
      <c r="P1026" s="89"/>
      <c r="Q1026" s="89"/>
      <c r="R1026" s="89"/>
      <c r="S1026" s="89"/>
      <c r="T1026" s="89"/>
      <c r="U1026" s="89"/>
      <c r="V1026" s="89"/>
      <c r="W1026" s="89"/>
      <c r="X1026" s="89"/>
      <c r="Y1026" s="89"/>
      <c r="Z1026" s="89"/>
      <c r="AA1026" s="89"/>
      <c r="AB1026" s="89"/>
      <c r="AC1026" s="89"/>
      <c r="AD1026" s="89"/>
      <c r="AE1026" s="89"/>
      <c r="AF1026" s="89"/>
      <c r="AG1026" s="89"/>
      <c r="AH1026" s="89"/>
      <c r="AI1026" s="89"/>
      <c r="AJ1026" s="89"/>
      <c r="AK1026" s="89"/>
    </row>
    <row r="1027" customFormat="false" ht="15.75" hidden="false" customHeight="true" outlineLevel="0" collapsed="false">
      <c r="A1027" s="76"/>
      <c r="B1027" s="76"/>
      <c r="C1027" s="88"/>
      <c r="D1027" s="89"/>
      <c r="E1027" s="89"/>
      <c r="F1027" s="89"/>
      <c r="G1027" s="89"/>
      <c r="H1027" s="89"/>
      <c r="I1027" s="90"/>
      <c r="J1027" s="89"/>
      <c r="K1027" s="89"/>
      <c r="L1027" s="89"/>
      <c r="M1027" s="89"/>
      <c r="N1027" s="89"/>
      <c r="O1027" s="89"/>
      <c r="P1027" s="89"/>
      <c r="Q1027" s="89"/>
      <c r="R1027" s="89"/>
      <c r="S1027" s="89"/>
      <c r="T1027" s="89"/>
      <c r="U1027" s="89"/>
      <c r="V1027" s="89"/>
      <c r="W1027" s="89"/>
      <c r="X1027" s="89"/>
      <c r="Y1027" s="89"/>
      <c r="Z1027" s="89"/>
      <c r="AA1027" s="89"/>
      <c r="AB1027" s="89"/>
      <c r="AC1027" s="89"/>
      <c r="AD1027" s="89"/>
      <c r="AE1027" s="89"/>
      <c r="AF1027" s="89"/>
      <c r="AG1027" s="89"/>
      <c r="AH1027" s="89"/>
      <c r="AI1027" s="89"/>
      <c r="AJ1027" s="89"/>
      <c r="AK1027" s="89"/>
    </row>
    <row r="1028" customFormat="false" ht="15.75" hidden="false" customHeight="true" outlineLevel="0" collapsed="false">
      <c r="A1028" s="76"/>
      <c r="B1028" s="76"/>
      <c r="C1028" s="88"/>
      <c r="D1028" s="89"/>
      <c r="E1028" s="89"/>
      <c r="F1028" s="89"/>
      <c r="G1028" s="89"/>
      <c r="H1028" s="89"/>
      <c r="I1028" s="90"/>
      <c r="J1028" s="89"/>
      <c r="K1028" s="89"/>
      <c r="L1028" s="89"/>
      <c r="M1028" s="89"/>
      <c r="N1028" s="89"/>
      <c r="O1028" s="89"/>
      <c r="P1028" s="89"/>
      <c r="Q1028" s="89"/>
      <c r="R1028" s="89"/>
      <c r="S1028" s="89"/>
      <c r="T1028" s="89"/>
      <c r="U1028" s="89"/>
      <c r="V1028" s="89"/>
      <c r="W1028" s="89"/>
      <c r="X1028" s="89"/>
      <c r="Y1028" s="89"/>
      <c r="Z1028" s="89"/>
      <c r="AA1028" s="89"/>
      <c r="AB1028" s="89"/>
      <c r="AC1028" s="89"/>
      <c r="AD1028" s="89"/>
      <c r="AE1028" s="89"/>
      <c r="AF1028" s="89"/>
      <c r="AG1028" s="89"/>
      <c r="AH1028" s="89"/>
      <c r="AI1028" s="89"/>
      <c r="AJ1028" s="89"/>
      <c r="AK1028" s="89"/>
    </row>
    <row r="1029" customFormat="false" ht="15.75" hidden="false" customHeight="true" outlineLevel="0" collapsed="false">
      <c r="A1029" s="76"/>
      <c r="B1029" s="76"/>
      <c r="C1029" s="88"/>
      <c r="D1029" s="89"/>
      <c r="E1029" s="89"/>
      <c r="F1029" s="89"/>
      <c r="G1029" s="89"/>
      <c r="H1029" s="89"/>
      <c r="I1029" s="90"/>
      <c r="J1029" s="89"/>
      <c r="K1029" s="89"/>
      <c r="L1029" s="89"/>
      <c r="M1029" s="89"/>
      <c r="N1029" s="89"/>
      <c r="O1029" s="89"/>
      <c r="P1029" s="89"/>
      <c r="Q1029" s="89"/>
      <c r="R1029" s="89"/>
      <c r="S1029" s="89"/>
      <c r="T1029" s="89"/>
      <c r="U1029" s="89"/>
      <c r="V1029" s="89"/>
      <c r="W1029" s="89"/>
      <c r="X1029" s="89"/>
      <c r="Y1029" s="89"/>
      <c r="Z1029" s="89"/>
      <c r="AA1029" s="89"/>
      <c r="AB1029" s="89"/>
      <c r="AC1029" s="89"/>
      <c r="AD1029" s="89"/>
      <c r="AE1029" s="89"/>
      <c r="AF1029" s="89"/>
      <c r="AG1029" s="89"/>
      <c r="AH1029" s="89"/>
      <c r="AI1029" s="89"/>
      <c r="AJ1029" s="89"/>
      <c r="AK1029" s="89"/>
    </row>
    <row r="1030" customFormat="false" ht="15.75" hidden="false" customHeight="true" outlineLevel="0" collapsed="false">
      <c r="A1030" s="76"/>
      <c r="B1030" s="76"/>
      <c r="C1030" s="88"/>
      <c r="D1030" s="89"/>
      <c r="E1030" s="89"/>
      <c r="F1030" s="89"/>
      <c r="G1030" s="89"/>
      <c r="H1030" s="89"/>
      <c r="I1030" s="90"/>
      <c r="J1030" s="89"/>
      <c r="K1030" s="89"/>
      <c r="L1030" s="89"/>
      <c r="M1030" s="89"/>
      <c r="N1030" s="89"/>
      <c r="O1030" s="89"/>
      <c r="P1030" s="89"/>
      <c r="Q1030" s="89"/>
      <c r="R1030" s="89"/>
      <c r="S1030" s="89"/>
      <c r="T1030" s="89"/>
      <c r="U1030" s="89"/>
      <c r="V1030" s="89"/>
      <c r="W1030" s="89"/>
      <c r="X1030" s="89"/>
      <c r="Y1030" s="89"/>
      <c r="Z1030" s="89"/>
      <c r="AA1030" s="89"/>
      <c r="AB1030" s="89"/>
      <c r="AC1030" s="89"/>
      <c r="AD1030" s="89"/>
      <c r="AE1030" s="89"/>
      <c r="AF1030" s="89"/>
      <c r="AG1030" s="89"/>
      <c r="AH1030" s="89"/>
      <c r="AI1030" s="89"/>
      <c r="AJ1030" s="89"/>
      <c r="AK1030" s="89"/>
    </row>
    <row r="1031" customFormat="false" ht="15.75" hidden="false" customHeight="true" outlineLevel="0" collapsed="false">
      <c r="A1031" s="76"/>
      <c r="B1031" s="76"/>
      <c r="C1031" s="88"/>
      <c r="D1031" s="89"/>
      <c r="E1031" s="89"/>
      <c r="F1031" s="89"/>
      <c r="G1031" s="89"/>
      <c r="H1031" s="89"/>
      <c r="I1031" s="90"/>
      <c r="J1031" s="89"/>
      <c r="K1031" s="89"/>
      <c r="L1031" s="89"/>
      <c r="M1031" s="89"/>
      <c r="N1031" s="89"/>
      <c r="O1031" s="89"/>
      <c r="P1031" s="89"/>
      <c r="Q1031" s="89"/>
      <c r="R1031" s="89"/>
      <c r="S1031" s="89"/>
      <c r="T1031" s="89"/>
      <c r="U1031" s="89"/>
      <c r="V1031" s="89"/>
      <c r="W1031" s="89"/>
      <c r="X1031" s="89"/>
      <c r="Y1031" s="89"/>
      <c r="Z1031" s="89"/>
      <c r="AA1031" s="89"/>
      <c r="AB1031" s="89"/>
      <c r="AC1031" s="89"/>
      <c r="AD1031" s="89"/>
      <c r="AE1031" s="89"/>
      <c r="AF1031" s="89"/>
      <c r="AG1031" s="89"/>
      <c r="AH1031" s="89"/>
      <c r="AI1031" s="89"/>
      <c r="AJ1031" s="89"/>
      <c r="AK1031" s="89"/>
    </row>
    <row r="1032" customFormat="false" ht="15.75" hidden="false" customHeight="true" outlineLevel="0" collapsed="false">
      <c r="A1032" s="76"/>
      <c r="B1032" s="76"/>
      <c r="C1032" s="88"/>
      <c r="D1032" s="89"/>
      <c r="E1032" s="89"/>
      <c r="F1032" s="89"/>
      <c r="G1032" s="89"/>
      <c r="H1032" s="89"/>
      <c r="I1032" s="90"/>
      <c r="J1032" s="89"/>
      <c r="K1032" s="89"/>
      <c r="L1032" s="89"/>
      <c r="M1032" s="89"/>
      <c r="N1032" s="89"/>
      <c r="O1032" s="89"/>
      <c r="P1032" s="89"/>
      <c r="Q1032" s="89"/>
      <c r="R1032" s="89"/>
      <c r="S1032" s="89"/>
      <c r="T1032" s="89"/>
      <c r="U1032" s="89"/>
      <c r="V1032" s="89"/>
      <c r="W1032" s="89"/>
      <c r="X1032" s="89"/>
      <c r="Y1032" s="89"/>
      <c r="Z1032" s="89"/>
      <c r="AA1032" s="89"/>
      <c r="AB1032" s="89"/>
      <c r="AC1032" s="89"/>
      <c r="AD1032" s="89"/>
      <c r="AE1032" s="89"/>
      <c r="AF1032" s="89"/>
      <c r="AG1032" s="89"/>
      <c r="AH1032" s="89"/>
      <c r="AI1032" s="89"/>
      <c r="AJ1032" s="89"/>
      <c r="AK1032" s="89"/>
    </row>
    <row r="1033" customFormat="false" ht="15.75" hidden="false" customHeight="true" outlineLevel="0" collapsed="false">
      <c r="A1033" s="76"/>
      <c r="B1033" s="76"/>
      <c r="C1033" s="88"/>
      <c r="D1033" s="89"/>
      <c r="E1033" s="89"/>
      <c r="F1033" s="89"/>
      <c r="G1033" s="89"/>
      <c r="H1033" s="89"/>
      <c r="I1033" s="90"/>
      <c r="J1033" s="89"/>
      <c r="K1033" s="89"/>
      <c r="L1033" s="89"/>
      <c r="M1033" s="89"/>
      <c r="N1033" s="89"/>
      <c r="O1033" s="89"/>
      <c r="P1033" s="89"/>
      <c r="Q1033" s="89"/>
      <c r="R1033" s="89"/>
      <c r="S1033" s="89"/>
      <c r="T1033" s="89"/>
      <c r="U1033" s="89"/>
      <c r="V1033" s="89"/>
      <c r="W1033" s="89"/>
      <c r="X1033" s="89"/>
      <c r="Y1033" s="89"/>
      <c r="Z1033" s="89"/>
      <c r="AA1033" s="89"/>
      <c r="AB1033" s="89"/>
      <c r="AC1033" s="89"/>
      <c r="AD1033" s="89"/>
      <c r="AE1033" s="89"/>
      <c r="AF1033" s="89"/>
      <c r="AG1033" s="89"/>
      <c r="AH1033" s="89"/>
      <c r="AI1033" s="89"/>
      <c r="AJ1033" s="89"/>
      <c r="AK1033" s="89"/>
    </row>
    <row r="1034" customFormat="false" ht="15.75" hidden="false" customHeight="true" outlineLevel="0" collapsed="false">
      <c r="A1034" s="76"/>
      <c r="B1034" s="76"/>
      <c r="C1034" s="88"/>
      <c r="D1034" s="89"/>
      <c r="E1034" s="89"/>
      <c r="F1034" s="89"/>
      <c r="G1034" s="89"/>
      <c r="H1034" s="89"/>
      <c r="I1034" s="90"/>
      <c r="J1034" s="89"/>
      <c r="K1034" s="89"/>
      <c r="L1034" s="89"/>
      <c r="M1034" s="89"/>
      <c r="N1034" s="89"/>
      <c r="O1034" s="89"/>
      <c r="P1034" s="89"/>
      <c r="Q1034" s="89"/>
      <c r="R1034" s="89"/>
      <c r="S1034" s="89"/>
      <c r="T1034" s="89"/>
      <c r="U1034" s="89"/>
      <c r="V1034" s="89"/>
      <c r="W1034" s="89"/>
      <c r="X1034" s="89"/>
      <c r="Y1034" s="89"/>
      <c r="Z1034" s="89"/>
      <c r="AA1034" s="89"/>
      <c r="AB1034" s="89"/>
      <c r="AC1034" s="89"/>
      <c r="AD1034" s="89"/>
      <c r="AE1034" s="89"/>
      <c r="AF1034" s="89"/>
      <c r="AG1034" s="89"/>
      <c r="AH1034" s="89"/>
      <c r="AI1034" s="89"/>
      <c r="AJ1034" s="89"/>
      <c r="AK1034" s="89"/>
    </row>
    <row r="1035" customFormat="false" ht="15.75" hidden="false" customHeight="true" outlineLevel="0" collapsed="false">
      <c r="A1035" s="76"/>
      <c r="B1035" s="76"/>
      <c r="C1035" s="88"/>
      <c r="D1035" s="89"/>
      <c r="E1035" s="89"/>
      <c r="F1035" s="89"/>
      <c r="G1035" s="89"/>
      <c r="H1035" s="89"/>
      <c r="I1035" s="90"/>
      <c r="J1035" s="89"/>
      <c r="K1035" s="89"/>
      <c r="L1035" s="89"/>
      <c r="M1035" s="89"/>
      <c r="N1035" s="89"/>
      <c r="O1035" s="89"/>
      <c r="P1035" s="89"/>
      <c r="Q1035" s="89"/>
      <c r="R1035" s="89"/>
      <c r="S1035" s="89"/>
      <c r="T1035" s="89"/>
      <c r="U1035" s="89"/>
      <c r="V1035" s="89"/>
      <c r="W1035" s="89"/>
      <c r="X1035" s="89"/>
      <c r="Y1035" s="89"/>
      <c r="Z1035" s="89"/>
      <c r="AA1035" s="89"/>
      <c r="AB1035" s="89"/>
      <c r="AC1035" s="89"/>
      <c r="AD1035" s="89"/>
      <c r="AE1035" s="89"/>
      <c r="AF1035" s="89"/>
      <c r="AG1035" s="89"/>
      <c r="AH1035" s="89"/>
      <c r="AI1035" s="89"/>
      <c r="AJ1035" s="89"/>
      <c r="AK1035" s="89"/>
    </row>
    <row r="1036" customFormat="false" ht="15.75" hidden="false" customHeight="true" outlineLevel="0" collapsed="false">
      <c r="A1036" s="76"/>
      <c r="B1036" s="76"/>
      <c r="C1036" s="88"/>
      <c r="D1036" s="89"/>
      <c r="E1036" s="89"/>
      <c r="F1036" s="89"/>
      <c r="G1036" s="89"/>
      <c r="H1036" s="89"/>
      <c r="I1036" s="90"/>
      <c r="J1036" s="89"/>
      <c r="K1036" s="89"/>
      <c r="L1036" s="89"/>
      <c r="M1036" s="89"/>
      <c r="N1036" s="89"/>
      <c r="O1036" s="89"/>
      <c r="P1036" s="89"/>
      <c r="Q1036" s="89"/>
      <c r="R1036" s="89"/>
      <c r="S1036" s="89"/>
      <c r="T1036" s="89"/>
      <c r="U1036" s="89"/>
      <c r="V1036" s="89"/>
      <c r="W1036" s="89"/>
      <c r="X1036" s="89"/>
      <c r="Y1036" s="89"/>
      <c r="Z1036" s="89"/>
      <c r="AA1036" s="89"/>
      <c r="AB1036" s="89"/>
      <c r="AC1036" s="89"/>
      <c r="AD1036" s="89"/>
      <c r="AE1036" s="89"/>
      <c r="AF1036" s="89"/>
      <c r="AG1036" s="89"/>
      <c r="AH1036" s="89"/>
      <c r="AI1036" s="89"/>
      <c r="AJ1036" s="89"/>
      <c r="AK1036" s="89"/>
    </row>
    <row r="1037" customFormat="false" ht="15.75" hidden="false" customHeight="true" outlineLevel="0" collapsed="false">
      <c r="A1037" s="76"/>
      <c r="B1037" s="76"/>
      <c r="C1037" s="88"/>
      <c r="D1037" s="89"/>
      <c r="E1037" s="89"/>
      <c r="F1037" s="89"/>
      <c r="G1037" s="89"/>
      <c r="H1037" s="89"/>
      <c r="I1037" s="90"/>
      <c r="J1037" s="89"/>
      <c r="K1037" s="89"/>
      <c r="L1037" s="89"/>
      <c r="M1037" s="89"/>
      <c r="N1037" s="89"/>
      <c r="O1037" s="89"/>
      <c r="P1037" s="89"/>
      <c r="Q1037" s="89"/>
      <c r="R1037" s="89"/>
      <c r="S1037" s="89"/>
      <c r="T1037" s="89"/>
      <c r="U1037" s="89"/>
      <c r="V1037" s="89"/>
      <c r="W1037" s="89"/>
      <c r="X1037" s="89"/>
      <c r="Y1037" s="89"/>
      <c r="Z1037" s="89"/>
      <c r="AA1037" s="89"/>
      <c r="AB1037" s="89"/>
      <c r="AC1037" s="89"/>
      <c r="AD1037" s="89"/>
      <c r="AE1037" s="89"/>
      <c r="AF1037" s="89"/>
      <c r="AG1037" s="89"/>
      <c r="AH1037" s="89"/>
      <c r="AI1037" s="89"/>
      <c r="AJ1037" s="89"/>
      <c r="AK1037" s="89"/>
    </row>
    <row r="1038" customFormat="false" ht="15.75" hidden="false" customHeight="true" outlineLevel="0" collapsed="false">
      <c r="A1038" s="76"/>
      <c r="B1038" s="76"/>
      <c r="C1038" s="88"/>
      <c r="D1038" s="89"/>
      <c r="E1038" s="89"/>
      <c r="F1038" s="89"/>
      <c r="G1038" s="89"/>
      <c r="H1038" s="89"/>
      <c r="I1038" s="90"/>
      <c r="J1038" s="89"/>
      <c r="K1038" s="89"/>
      <c r="L1038" s="89"/>
      <c r="M1038" s="89"/>
      <c r="N1038" s="89"/>
      <c r="O1038" s="89"/>
      <c r="P1038" s="89"/>
      <c r="Q1038" s="89"/>
      <c r="R1038" s="89"/>
      <c r="S1038" s="89"/>
      <c r="T1038" s="89"/>
      <c r="U1038" s="89"/>
      <c r="V1038" s="89"/>
      <c r="W1038" s="89"/>
      <c r="X1038" s="89"/>
      <c r="Y1038" s="89"/>
      <c r="Z1038" s="89"/>
      <c r="AA1038" s="89"/>
      <c r="AB1038" s="89"/>
      <c r="AC1038" s="89"/>
      <c r="AD1038" s="89"/>
      <c r="AE1038" s="89"/>
      <c r="AF1038" s="89"/>
      <c r="AG1038" s="89"/>
      <c r="AH1038" s="89"/>
      <c r="AI1038" s="89"/>
      <c r="AJ1038" s="89"/>
      <c r="AK1038" s="89"/>
    </row>
    <row r="1039" customFormat="false" ht="15.75" hidden="false" customHeight="true" outlineLevel="0" collapsed="false">
      <c r="A1039" s="76"/>
      <c r="B1039" s="76"/>
      <c r="C1039" s="88"/>
      <c r="D1039" s="89"/>
      <c r="E1039" s="89"/>
      <c r="F1039" s="89"/>
      <c r="G1039" s="89"/>
      <c r="H1039" s="89"/>
      <c r="I1039" s="90"/>
      <c r="J1039" s="89"/>
      <c r="K1039" s="89"/>
      <c r="L1039" s="89"/>
      <c r="M1039" s="89"/>
      <c r="N1039" s="89"/>
      <c r="O1039" s="89"/>
      <c r="P1039" s="89"/>
      <c r="Q1039" s="89"/>
      <c r="R1039" s="89"/>
      <c r="S1039" s="89"/>
      <c r="T1039" s="89"/>
      <c r="U1039" s="89"/>
      <c r="V1039" s="89"/>
      <c r="W1039" s="89"/>
      <c r="X1039" s="89"/>
      <c r="Y1039" s="89"/>
      <c r="Z1039" s="89"/>
      <c r="AA1039" s="89"/>
      <c r="AB1039" s="89"/>
      <c r="AC1039" s="89"/>
      <c r="AD1039" s="89"/>
      <c r="AE1039" s="89"/>
      <c r="AF1039" s="89"/>
      <c r="AG1039" s="89"/>
      <c r="AH1039" s="89"/>
      <c r="AI1039" s="89"/>
      <c r="AJ1039" s="89"/>
      <c r="AK1039" s="89"/>
    </row>
    <row r="1040" customFormat="false" ht="15.75" hidden="false" customHeight="true" outlineLevel="0" collapsed="false">
      <c r="A1040" s="76"/>
      <c r="B1040" s="76"/>
      <c r="C1040" s="88"/>
      <c r="D1040" s="89"/>
      <c r="E1040" s="89"/>
      <c r="F1040" s="89"/>
      <c r="G1040" s="89"/>
      <c r="H1040" s="89"/>
      <c r="I1040" s="90"/>
      <c r="J1040" s="89"/>
      <c r="K1040" s="89"/>
      <c r="L1040" s="89"/>
      <c r="M1040" s="89"/>
      <c r="N1040" s="89"/>
      <c r="O1040" s="89"/>
      <c r="P1040" s="89"/>
      <c r="Q1040" s="89"/>
      <c r="R1040" s="89"/>
      <c r="S1040" s="89"/>
      <c r="T1040" s="89"/>
      <c r="U1040" s="89"/>
      <c r="V1040" s="89"/>
      <c r="W1040" s="89"/>
      <c r="X1040" s="89"/>
      <c r="Y1040" s="89"/>
      <c r="Z1040" s="89"/>
      <c r="AA1040" s="89"/>
      <c r="AB1040" s="89"/>
      <c r="AC1040" s="89"/>
      <c r="AD1040" s="89"/>
      <c r="AE1040" s="89"/>
      <c r="AF1040" s="89"/>
      <c r="AG1040" s="89"/>
      <c r="AH1040" s="89"/>
      <c r="AI1040" s="89"/>
      <c r="AJ1040" s="89"/>
      <c r="AK1040" s="89"/>
    </row>
    <row r="1041" customFormat="false" ht="15.75" hidden="false" customHeight="true" outlineLevel="0" collapsed="false">
      <c r="A1041" s="76"/>
      <c r="B1041" s="76"/>
      <c r="C1041" s="88"/>
      <c r="D1041" s="89"/>
      <c r="E1041" s="89"/>
      <c r="F1041" s="89"/>
      <c r="G1041" s="89"/>
      <c r="H1041" s="89"/>
      <c r="I1041" s="90"/>
      <c r="J1041" s="89"/>
      <c r="K1041" s="89"/>
      <c r="L1041" s="89"/>
      <c r="M1041" s="89"/>
      <c r="N1041" s="89"/>
      <c r="O1041" s="89"/>
      <c r="P1041" s="89"/>
      <c r="Q1041" s="89"/>
      <c r="R1041" s="89"/>
      <c r="S1041" s="89"/>
      <c r="T1041" s="89"/>
      <c r="U1041" s="89"/>
      <c r="V1041" s="89"/>
      <c r="W1041" s="89"/>
      <c r="X1041" s="89"/>
      <c r="Y1041" s="89"/>
      <c r="Z1041" s="89"/>
      <c r="AA1041" s="89"/>
      <c r="AB1041" s="89"/>
      <c r="AC1041" s="89"/>
      <c r="AD1041" s="89"/>
      <c r="AE1041" s="89"/>
      <c r="AF1041" s="89"/>
      <c r="AG1041" s="89"/>
      <c r="AH1041" s="89"/>
      <c r="AI1041" s="89"/>
      <c r="AJ1041" s="89"/>
      <c r="AK1041" s="89"/>
    </row>
    <row r="1042" customFormat="false" ht="15.75" hidden="false" customHeight="true" outlineLevel="0" collapsed="false">
      <c r="A1042" s="76"/>
      <c r="B1042" s="76"/>
      <c r="C1042" s="88"/>
      <c r="D1042" s="89"/>
      <c r="E1042" s="89"/>
      <c r="F1042" s="89"/>
      <c r="G1042" s="89"/>
      <c r="H1042" s="89"/>
      <c r="I1042" s="90"/>
      <c r="J1042" s="89"/>
      <c r="K1042" s="89"/>
      <c r="L1042" s="89"/>
      <c r="M1042" s="89"/>
      <c r="N1042" s="89"/>
      <c r="O1042" s="89"/>
      <c r="P1042" s="89"/>
      <c r="Q1042" s="89"/>
      <c r="R1042" s="89"/>
      <c r="S1042" s="89"/>
      <c r="T1042" s="89"/>
      <c r="U1042" s="89"/>
      <c r="V1042" s="89"/>
      <c r="W1042" s="89"/>
      <c r="X1042" s="89"/>
      <c r="Y1042" s="89"/>
      <c r="Z1042" s="89"/>
      <c r="AA1042" s="89"/>
      <c r="AB1042" s="89"/>
      <c r="AC1042" s="89"/>
      <c r="AD1042" s="89"/>
      <c r="AE1042" s="89"/>
      <c r="AF1042" s="89"/>
      <c r="AG1042" s="89"/>
      <c r="AH1042" s="89"/>
      <c r="AI1042" s="89"/>
      <c r="AJ1042" s="89"/>
      <c r="AK1042" s="89"/>
    </row>
    <row r="1043" customFormat="false" ht="15.75" hidden="false" customHeight="true" outlineLevel="0" collapsed="false">
      <c r="A1043" s="76"/>
      <c r="B1043" s="76"/>
      <c r="C1043" s="88"/>
      <c r="D1043" s="89"/>
      <c r="E1043" s="89"/>
      <c r="F1043" s="89"/>
      <c r="G1043" s="89"/>
      <c r="H1043" s="89"/>
      <c r="I1043" s="90"/>
      <c r="J1043" s="89"/>
      <c r="K1043" s="89"/>
      <c r="L1043" s="89"/>
      <c r="M1043" s="89"/>
      <c r="N1043" s="89"/>
      <c r="O1043" s="89"/>
      <c r="P1043" s="89"/>
      <c r="Q1043" s="89"/>
      <c r="R1043" s="89"/>
      <c r="S1043" s="89"/>
      <c r="T1043" s="89"/>
      <c r="U1043" s="89"/>
      <c r="V1043" s="89"/>
      <c r="W1043" s="89"/>
      <c r="X1043" s="89"/>
      <c r="Y1043" s="89"/>
      <c r="Z1043" s="89"/>
      <c r="AA1043" s="89"/>
      <c r="AB1043" s="89"/>
      <c r="AC1043" s="89"/>
      <c r="AD1043" s="89"/>
      <c r="AE1043" s="89"/>
      <c r="AF1043" s="89"/>
      <c r="AG1043" s="89"/>
      <c r="AH1043" s="89"/>
      <c r="AI1043" s="89"/>
      <c r="AJ1043" s="89"/>
      <c r="AK1043" s="89"/>
    </row>
    <row r="1044" customFormat="false" ht="15.75" hidden="false" customHeight="true" outlineLevel="0" collapsed="false">
      <c r="A1044" s="76"/>
      <c r="B1044" s="76"/>
      <c r="C1044" s="88"/>
      <c r="D1044" s="89"/>
      <c r="E1044" s="89"/>
      <c r="F1044" s="89"/>
      <c r="G1044" s="89"/>
      <c r="H1044" s="89"/>
      <c r="I1044" s="90"/>
      <c r="J1044" s="89"/>
      <c r="K1044" s="89"/>
      <c r="L1044" s="89"/>
      <c r="M1044" s="89"/>
      <c r="N1044" s="89"/>
      <c r="O1044" s="89"/>
      <c r="P1044" s="89"/>
      <c r="Q1044" s="89"/>
      <c r="R1044" s="89"/>
      <c r="S1044" s="89"/>
      <c r="T1044" s="89"/>
      <c r="U1044" s="89"/>
      <c r="V1044" s="89"/>
      <c r="W1044" s="89"/>
      <c r="X1044" s="89"/>
      <c r="Y1044" s="89"/>
      <c r="Z1044" s="89"/>
      <c r="AA1044" s="89"/>
      <c r="AB1044" s="89"/>
      <c r="AC1044" s="89"/>
      <c r="AD1044" s="89"/>
      <c r="AE1044" s="89"/>
      <c r="AF1044" s="89"/>
      <c r="AG1044" s="89"/>
      <c r="AH1044" s="89"/>
      <c r="AI1044" s="89"/>
      <c r="AJ1044" s="89"/>
      <c r="AK1044" s="89"/>
    </row>
    <row r="1045" customFormat="false" ht="15.75" hidden="false" customHeight="true" outlineLevel="0" collapsed="false">
      <c r="A1045" s="76"/>
      <c r="B1045" s="76"/>
      <c r="C1045" s="88"/>
      <c r="D1045" s="89"/>
      <c r="E1045" s="89"/>
      <c r="F1045" s="89"/>
      <c r="G1045" s="89"/>
      <c r="H1045" s="89"/>
      <c r="I1045" s="90"/>
      <c r="J1045" s="89"/>
      <c r="K1045" s="89"/>
      <c r="L1045" s="89"/>
      <c r="M1045" s="89"/>
      <c r="N1045" s="89"/>
      <c r="O1045" s="89"/>
      <c r="P1045" s="89"/>
      <c r="Q1045" s="89"/>
      <c r="R1045" s="89"/>
      <c r="S1045" s="89"/>
      <c r="T1045" s="89"/>
      <c r="U1045" s="89"/>
      <c r="V1045" s="89"/>
      <c r="W1045" s="89"/>
      <c r="X1045" s="89"/>
      <c r="Y1045" s="89"/>
      <c r="Z1045" s="89"/>
      <c r="AA1045" s="89"/>
      <c r="AB1045" s="89"/>
      <c r="AC1045" s="89"/>
      <c r="AD1045" s="89"/>
      <c r="AE1045" s="89"/>
      <c r="AF1045" s="89"/>
      <c r="AG1045" s="89"/>
      <c r="AH1045" s="89"/>
      <c r="AI1045" s="89"/>
      <c r="AJ1045" s="89"/>
      <c r="AK1045" s="89"/>
    </row>
    <row r="1046" customFormat="false" ht="15.75" hidden="false" customHeight="true" outlineLevel="0" collapsed="false">
      <c r="A1046" s="76"/>
      <c r="B1046" s="76"/>
      <c r="C1046" s="88"/>
      <c r="D1046" s="89"/>
      <c r="E1046" s="89"/>
      <c r="F1046" s="89"/>
      <c r="G1046" s="89"/>
      <c r="H1046" s="89"/>
      <c r="I1046" s="90"/>
      <c r="J1046" s="89"/>
      <c r="K1046" s="89"/>
      <c r="L1046" s="89"/>
      <c r="M1046" s="89"/>
      <c r="N1046" s="89"/>
      <c r="O1046" s="89"/>
      <c r="P1046" s="89"/>
      <c r="Q1046" s="89"/>
      <c r="R1046" s="89"/>
      <c r="S1046" s="89"/>
      <c r="T1046" s="89"/>
      <c r="U1046" s="89"/>
      <c r="V1046" s="89"/>
      <c r="W1046" s="89"/>
      <c r="X1046" s="89"/>
      <c r="Y1046" s="89"/>
      <c r="Z1046" s="89"/>
      <c r="AA1046" s="89"/>
      <c r="AB1046" s="89"/>
      <c r="AC1046" s="89"/>
      <c r="AD1046" s="89"/>
      <c r="AE1046" s="89"/>
      <c r="AF1046" s="89"/>
      <c r="AG1046" s="89"/>
      <c r="AH1046" s="89"/>
      <c r="AI1046" s="89"/>
      <c r="AJ1046" s="89"/>
      <c r="AK1046" s="89"/>
    </row>
    <row r="1047" customFormat="false" ht="15.75" hidden="false" customHeight="true" outlineLevel="0" collapsed="false">
      <c r="A1047" s="76"/>
      <c r="B1047" s="76"/>
      <c r="C1047" s="88"/>
      <c r="D1047" s="89"/>
      <c r="E1047" s="89"/>
      <c r="F1047" s="89"/>
      <c r="G1047" s="89"/>
      <c r="H1047" s="89"/>
      <c r="I1047" s="90"/>
      <c r="J1047" s="89"/>
      <c r="K1047" s="89"/>
      <c r="L1047" s="89"/>
      <c r="M1047" s="89"/>
      <c r="N1047" s="89"/>
      <c r="O1047" s="89"/>
      <c r="P1047" s="89"/>
      <c r="Q1047" s="89"/>
      <c r="R1047" s="89"/>
      <c r="S1047" s="89"/>
      <c r="T1047" s="89"/>
      <c r="U1047" s="89"/>
      <c r="V1047" s="89"/>
      <c r="W1047" s="89"/>
      <c r="X1047" s="89"/>
      <c r="Y1047" s="89"/>
      <c r="Z1047" s="89"/>
      <c r="AA1047" s="89"/>
      <c r="AB1047" s="89"/>
      <c r="AC1047" s="89"/>
      <c r="AD1047" s="89"/>
      <c r="AE1047" s="89"/>
      <c r="AF1047" s="89"/>
      <c r="AG1047" s="89"/>
      <c r="AH1047" s="89"/>
      <c r="AI1047" s="89"/>
      <c r="AJ1047" s="89"/>
      <c r="AK1047" s="89"/>
    </row>
    <row r="1048" customFormat="false" ht="15.75" hidden="false" customHeight="true" outlineLevel="0" collapsed="false">
      <c r="A1048" s="76"/>
      <c r="B1048" s="76"/>
      <c r="C1048" s="88"/>
      <c r="D1048" s="89"/>
      <c r="E1048" s="89"/>
      <c r="F1048" s="89"/>
      <c r="G1048" s="89"/>
      <c r="H1048" s="89"/>
      <c r="I1048" s="90"/>
      <c r="J1048" s="89"/>
      <c r="K1048" s="89"/>
      <c r="L1048" s="89"/>
      <c r="M1048" s="89"/>
      <c r="N1048" s="89"/>
      <c r="O1048" s="89"/>
      <c r="P1048" s="89"/>
      <c r="Q1048" s="89"/>
      <c r="R1048" s="89"/>
      <c r="S1048" s="89"/>
      <c r="T1048" s="89"/>
      <c r="U1048" s="89"/>
      <c r="V1048" s="89"/>
      <c r="W1048" s="89"/>
      <c r="X1048" s="89"/>
      <c r="Y1048" s="89"/>
      <c r="Z1048" s="89"/>
      <c r="AA1048" s="89"/>
      <c r="AB1048" s="89"/>
      <c r="AC1048" s="89"/>
      <c r="AD1048" s="89"/>
      <c r="AE1048" s="89"/>
      <c r="AF1048" s="89"/>
      <c r="AG1048" s="89"/>
      <c r="AH1048" s="89"/>
      <c r="AI1048" s="89"/>
      <c r="AJ1048" s="89"/>
      <c r="AK1048" s="89"/>
    </row>
    <row r="1049" customFormat="false" ht="15.75" hidden="false" customHeight="true" outlineLevel="0" collapsed="false">
      <c r="A1049" s="76"/>
      <c r="B1049" s="76"/>
      <c r="C1049" s="88"/>
      <c r="D1049" s="89"/>
      <c r="E1049" s="89"/>
      <c r="F1049" s="89"/>
      <c r="G1049" s="89"/>
      <c r="H1049" s="89"/>
      <c r="I1049" s="90"/>
      <c r="J1049" s="89"/>
      <c r="K1049" s="89"/>
      <c r="L1049" s="89"/>
      <c r="M1049" s="89"/>
      <c r="N1049" s="89"/>
      <c r="O1049" s="89"/>
      <c r="P1049" s="89"/>
      <c r="Q1049" s="89"/>
      <c r="R1049" s="89"/>
      <c r="S1049" s="89"/>
      <c r="T1049" s="89"/>
      <c r="U1049" s="89"/>
      <c r="V1049" s="89"/>
      <c r="W1049" s="89"/>
      <c r="X1049" s="89"/>
      <c r="Y1049" s="89"/>
      <c r="Z1049" s="89"/>
      <c r="AA1049" s="89"/>
      <c r="AB1049" s="89"/>
      <c r="AC1049" s="89"/>
      <c r="AD1049" s="89"/>
      <c r="AE1049" s="89"/>
      <c r="AF1049" s="89"/>
      <c r="AG1049" s="89"/>
      <c r="AH1049" s="89"/>
      <c r="AI1049" s="89"/>
      <c r="AJ1049" s="89"/>
      <c r="AK1049" s="89"/>
    </row>
    <row r="1050" customFormat="false" ht="15.75" hidden="false" customHeight="true" outlineLevel="0" collapsed="false">
      <c r="A1050" s="76"/>
      <c r="B1050" s="76"/>
      <c r="C1050" s="88"/>
      <c r="D1050" s="89"/>
      <c r="E1050" s="89"/>
      <c r="F1050" s="89"/>
      <c r="G1050" s="89"/>
      <c r="H1050" s="89"/>
      <c r="I1050" s="90"/>
      <c r="J1050" s="89"/>
      <c r="K1050" s="89"/>
      <c r="L1050" s="89"/>
      <c r="M1050" s="89"/>
      <c r="N1050" s="89"/>
      <c r="O1050" s="89"/>
      <c r="P1050" s="89"/>
      <c r="Q1050" s="89"/>
      <c r="R1050" s="89"/>
      <c r="S1050" s="89"/>
      <c r="T1050" s="89"/>
      <c r="U1050" s="89"/>
      <c r="V1050" s="89"/>
      <c r="W1050" s="89"/>
      <c r="X1050" s="89"/>
      <c r="Y1050" s="89"/>
      <c r="Z1050" s="89"/>
      <c r="AA1050" s="89"/>
      <c r="AB1050" s="89"/>
      <c r="AC1050" s="89"/>
      <c r="AD1050" s="89"/>
      <c r="AE1050" s="89"/>
      <c r="AF1050" s="89"/>
      <c r="AG1050" s="89"/>
      <c r="AH1050" s="89"/>
      <c r="AI1050" s="89"/>
      <c r="AJ1050" s="89"/>
      <c r="AK1050" s="89"/>
    </row>
    <row r="1051" customFormat="false" ht="15.75" hidden="false" customHeight="true" outlineLevel="0" collapsed="false">
      <c r="A1051" s="76"/>
      <c r="B1051" s="76"/>
      <c r="C1051" s="88"/>
      <c r="D1051" s="89"/>
      <c r="E1051" s="89"/>
      <c r="F1051" s="89"/>
      <c r="G1051" s="89"/>
      <c r="H1051" s="89"/>
      <c r="I1051" s="90"/>
      <c r="J1051" s="89"/>
      <c r="K1051" s="89"/>
      <c r="L1051" s="89"/>
      <c r="M1051" s="89"/>
      <c r="N1051" s="89"/>
      <c r="O1051" s="89"/>
      <c r="P1051" s="89"/>
      <c r="Q1051" s="89"/>
      <c r="R1051" s="89"/>
      <c r="S1051" s="89"/>
      <c r="T1051" s="89"/>
      <c r="U1051" s="89"/>
      <c r="V1051" s="89"/>
      <c r="W1051" s="89"/>
      <c r="X1051" s="89"/>
      <c r="Y1051" s="89"/>
      <c r="Z1051" s="89"/>
      <c r="AA1051" s="89"/>
      <c r="AB1051" s="89"/>
      <c r="AC1051" s="89"/>
      <c r="AD1051" s="89"/>
      <c r="AE1051" s="89"/>
      <c r="AF1051" s="89"/>
      <c r="AG1051" s="89"/>
      <c r="AH1051" s="89"/>
      <c r="AI1051" s="89"/>
      <c r="AJ1051" s="89"/>
      <c r="AK1051" s="89"/>
    </row>
    <row r="1052" customFormat="false" ht="15.75" hidden="false" customHeight="true" outlineLevel="0" collapsed="false">
      <c r="A1052" s="76"/>
      <c r="B1052" s="76"/>
      <c r="C1052" s="88"/>
      <c r="D1052" s="89"/>
      <c r="E1052" s="89"/>
      <c r="F1052" s="89"/>
      <c r="G1052" s="89"/>
      <c r="H1052" s="89"/>
      <c r="I1052" s="90"/>
      <c r="J1052" s="89"/>
      <c r="K1052" s="89"/>
      <c r="L1052" s="89"/>
      <c r="M1052" s="89"/>
      <c r="N1052" s="89"/>
      <c r="O1052" s="89"/>
      <c r="P1052" s="89"/>
      <c r="Q1052" s="89"/>
      <c r="R1052" s="89"/>
      <c r="S1052" s="89"/>
      <c r="T1052" s="89"/>
      <c r="U1052" s="89"/>
      <c r="V1052" s="89"/>
      <c r="W1052" s="89"/>
      <c r="X1052" s="89"/>
      <c r="Y1052" s="89"/>
      <c r="Z1052" s="89"/>
      <c r="AA1052" s="89"/>
      <c r="AB1052" s="89"/>
      <c r="AC1052" s="89"/>
      <c r="AD1052" s="89"/>
      <c r="AE1052" s="89"/>
      <c r="AF1052" s="89"/>
      <c r="AG1052" s="89"/>
      <c r="AH1052" s="89"/>
      <c r="AI1052" s="89"/>
      <c r="AJ1052" s="89"/>
      <c r="AK1052" s="89"/>
    </row>
    <row r="1053" customFormat="false" ht="15.75" hidden="false" customHeight="true" outlineLevel="0" collapsed="false">
      <c r="A1053" s="76"/>
      <c r="B1053" s="76"/>
      <c r="C1053" s="88"/>
      <c r="D1053" s="89"/>
      <c r="E1053" s="89"/>
      <c r="F1053" s="89"/>
      <c r="G1053" s="89"/>
      <c r="H1053" s="89"/>
      <c r="I1053" s="90"/>
      <c r="J1053" s="89"/>
      <c r="K1053" s="89"/>
      <c r="L1053" s="89"/>
      <c r="M1053" s="89"/>
      <c r="N1053" s="89"/>
      <c r="O1053" s="89"/>
      <c r="P1053" s="89"/>
      <c r="Q1053" s="89"/>
      <c r="R1053" s="89"/>
      <c r="S1053" s="89"/>
      <c r="T1053" s="89"/>
      <c r="U1053" s="89"/>
      <c r="V1053" s="89"/>
      <c r="W1053" s="89"/>
      <c r="X1053" s="89"/>
      <c r="Y1053" s="89"/>
      <c r="Z1053" s="89"/>
      <c r="AA1053" s="89"/>
      <c r="AB1053" s="89"/>
      <c r="AC1053" s="89"/>
      <c r="AD1053" s="89"/>
      <c r="AE1053" s="89"/>
      <c r="AF1053" s="89"/>
      <c r="AG1053" s="89"/>
      <c r="AH1053" s="89"/>
      <c r="AI1053" s="89"/>
      <c r="AJ1053" s="89"/>
      <c r="AK1053" s="89"/>
    </row>
    <row r="1054" customFormat="false" ht="15.75" hidden="false" customHeight="true" outlineLevel="0" collapsed="false">
      <c r="A1054" s="76"/>
      <c r="B1054" s="76"/>
      <c r="C1054" s="88"/>
      <c r="D1054" s="89"/>
      <c r="E1054" s="89"/>
      <c r="F1054" s="89"/>
      <c r="G1054" s="89"/>
      <c r="H1054" s="89"/>
      <c r="I1054" s="90"/>
      <c r="J1054" s="89"/>
      <c r="K1054" s="89"/>
      <c r="L1054" s="89"/>
      <c r="M1054" s="89"/>
      <c r="N1054" s="89"/>
      <c r="O1054" s="89"/>
      <c r="P1054" s="89"/>
      <c r="Q1054" s="89"/>
      <c r="R1054" s="89"/>
      <c r="S1054" s="89"/>
      <c r="T1054" s="89"/>
      <c r="U1054" s="89"/>
      <c r="V1054" s="89"/>
      <c r="W1054" s="89"/>
      <c r="X1054" s="89"/>
      <c r="Y1054" s="89"/>
      <c r="Z1054" s="89"/>
      <c r="AA1054" s="89"/>
      <c r="AB1054" s="89"/>
      <c r="AC1054" s="89"/>
      <c r="AD1054" s="89"/>
      <c r="AE1054" s="89"/>
      <c r="AF1054" s="89"/>
      <c r="AG1054" s="89"/>
      <c r="AH1054" s="89"/>
      <c r="AI1054" s="89"/>
      <c r="AJ1054" s="89"/>
      <c r="AK1054" s="89"/>
    </row>
    <row r="1055" customFormat="false" ht="15.75" hidden="false" customHeight="true" outlineLevel="0" collapsed="false">
      <c r="A1055" s="76"/>
      <c r="B1055" s="76"/>
      <c r="C1055" s="88"/>
      <c r="D1055" s="89"/>
      <c r="E1055" s="89"/>
      <c r="F1055" s="89"/>
      <c r="G1055" s="89"/>
      <c r="H1055" s="89"/>
      <c r="I1055" s="90"/>
      <c r="J1055" s="89"/>
      <c r="K1055" s="89"/>
      <c r="L1055" s="89"/>
      <c r="M1055" s="89"/>
      <c r="N1055" s="89"/>
      <c r="O1055" s="89"/>
      <c r="P1055" s="89"/>
      <c r="Q1055" s="89"/>
      <c r="R1055" s="89"/>
      <c r="S1055" s="89"/>
      <c r="T1055" s="89"/>
      <c r="U1055" s="89"/>
      <c r="V1055" s="89"/>
      <c r="W1055" s="89"/>
      <c r="X1055" s="89"/>
      <c r="Y1055" s="89"/>
      <c r="Z1055" s="89"/>
      <c r="AA1055" s="89"/>
      <c r="AB1055" s="89"/>
      <c r="AC1055" s="89"/>
      <c r="AD1055" s="89"/>
      <c r="AE1055" s="89"/>
      <c r="AF1055" s="89"/>
      <c r="AG1055" s="89"/>
      <c r="AH1055" s="89"/>
      <c r="AI1055" s="89"/>
      <c r="AJ1055" s="89"/>
      <c r="AK1055" s="89"/>
    </row>
    <row r="1056" customFormat="false" ht="15.75" hidden="false" customHeight="true" outlineLevel="0" collapsed="false">
      <c r="A1056" s="76"/>
      <c r="B1056" s="76"/>
      <c r="C1056" s="88"/>
      <c r="D1056" s="89"/>
      <c r="E1056" s="89"/>
      <c r="F1056" s="89"/>
      <c r="G1056" s="89"/>
      <c r="H1056" s="89"/>
      <c r="I1056" s="90"/>
      <c r="J1056" s="89"/>
      <c r="K1056" s="89"/>
      <c r="L1056" s="89"/>
      <c r="M1056" s="89"/>
      <c r="N1056" s="89"/>
      <c r="O1056" s="89"/>
      <c r="P1056" s="89"/>
      <c r="Q1056" s="89"/>
      <c r="R1056" s="89"/>
      <c r="S1056" s="89"/>
      <c r="T1056" s="89"/>
      <c r="U1056" s="89"/>
      <c r="V1056" s="89"/>
      <c r="W1056" s="89"/>
      <c r="X1056" s="89"/>
      <c r="Y1056" s="89"/>
      <c r="Z1056" s="89"/>
      <c r="AA1056" s="89"/>
      <c r="AB1056" s="89"/>
      <c r="AC1056" s="89"/>
      <c r="AD1056" s="89"/>
      <c r="AE1056" s="89"/>
      <c r="AF1056" s="89"/>
      <c r="AG1056" s="89"/>
      <c r="AH1056" s="89"/>
      <c r="AI1056" s="89"/>
      <c r="AJ1056" s="89"/>
      <c r="AK1056" s="89"/>
    </row>
    <row r="1057" customFormat="false" ht="15.75" hidden="false" customHeight="true" outlineLevel="0" collapsed="false">
      <c r="A1057" s="76"/>
      <c r="B1057" s="76"/>
      <c r="C1057" s="88"/>
      <c r="D1057" s="89"/>
      <c r="E1057" s="89"/>
      <c r="F1057" s="89"/>
      <c r="G1057" s="89"/>
      <c r="H1057" s="89"/>
      <c r="I1057" s="90"/>
      <c r="J1057" s="89"/>
      <c r="K1057" s="89"/>
      <c r="L1057" s="89"/>
      <c r="M1057" s="89"/>
      <c r="N1057" s="89"/>
      <c r="O1057" s="89"/>
      <c r="P1057" s="89"/>
      <c r="Q1057" s="89"/>
      <c r="R1057" s="89"/>
      <c r="S1057" s="89"/>
      <c r="T1057" s="89"/>
      <c r="U1057" s="89"/>
      <c r="V1057" s="89"/>
      <c r="W1057" s="89"/>
      <c r="X1057" s="89"/>
      <c r="Y1057" s="89"/>
      <c r="Z1057" s="89"/>
      <c r="AA1057" s="89"/>
      <c r="AB1057" s="89"/>
      <c r="AC1057" s="89"/>
      <c r="AD1057" s="89"/>
      <c r="AE1057" s="89"/>
      <c r="AF1057" s="89"/>
      <c r="AG1057" s="89"/>
      <c r="AH1057" s="89"/>
      <c r="AI1057" s="89"/>
      <c r="AJ1057" s="89"/>
      <c r="AK1057" s="89"/>
    </row>
    <row r="1058" customFormat="false" ht="15.75" hidden="false" customHeight="true" outlineLevel="0" collapsed="false">
      <c r="A1058" s="76"/>
      <c r="B1058" s="76"/>
      <c r="C1058" s="88"/>
      <c r="D1058" s="89"/>
      <c r="E1058" s="89"/>
      <c r="F1058" s="89"/>
      <c r="G1058" s="89"/>
      <c r="H1058" s="89"/>
      <c r="I1058" s="90"/>
      <c r="J1058" s="89"/>
      <c r="K1058" s="89"/>
      <c r="L1058" s="89"/>
      <c r="M1058" s="89"/>
      <c r="N1058" s="89"/>
      <c r="O1058" s="89"/>
      <c r="P1058" s="89"/>
      <c r="Q1058" s="89"/>
      <c r="R1058" s="89"/>
      <c r="S1058" s="89"/>
      <c r="T1058" s="89"/>
      <c r="U1058" s="89"/>
      <c r="V1058" s="89"/>
      <c r="W1058" s="89"/>
      <c r="X1058" s="89"/>
      <c r="Y1058" s="89"/>
      <c r="Z1058" s="89"/>
      <c r="AA1058" s="89"/>
      <c r="AB1058" s="89"/>
      <c r="AC1058" s="89"/>
      <c r="AD1058" s="89"/>
      <c r="AE1058" s="89"/>
      <c r="AF1058" s="89"/>
      <c r="AG1058" s="89"/>
      <c r="AH1058" s="89"/>
      <c r="AI1058" s="89"/>
      <c r="AJ1058" s="89"/>
      <c r="AK1058" s="89"/>
    </row>
    <row r="1059" customFormat="false" ht="15.75" hidden="false" customHeight="true" outlineLevel="0" collapsed="false">
      <c r="A1059" s="76"/>
      <c r="B1059" s="76"/>
      <c r="C1059" s="88"/>
      <c r="D1059" s="89"/>
      <c r="E1059" s="89"/>
      <c r="F1059" s="89"/>
      <c r="G1059" s="89"/>
      <c r="H1059" s="89"/>
      <c r="I1059" s="90"/>
      <c r="J1059" s="89"/>
      <c r="K1059" s="89"/>
      <c r="L1059" s="89"/>
      <c r="M1059" s="89"/>
      <c r="N1059" s="89"/>
      <c r="O1059" s="89"/>
      <c r="P1059" s="89"/>
      <c r="Q1059" s="89"/>
      <c r="R1059" s="89"/>
      <c r="S1059" s="89"/>
      <c r="T1059" s="89"/>
      <c r="U1059" s="89"/>
      <c r="V1059" s="89"/>
      <c r="W1059" s="89"/>
      <c r="X1059" s="89"/>
      <c r="Y1059" s="89"/>
      <c r="Z1059" s="89"/>
      <c r="AA1059" s="89"/>
      <c r="AB1059" s="89"/>
      <c r="AC1059" s="89"/>
      <c r="AD1059" s="89"/>
      <c r="AE1059" s="89"/>
      <c r="AF1059" s="89"/>
      <c r="AG1059" s="89"/>
      <c r="AH1059" s="89"/>
      <c r="AI1059" s="89"/>
      <c r="AJ1059" s="89"/>
      <c r="AK1059" s="89"/>
    </row>
    <row r="1060" customFormat="false" ht="15.75" hidden="false" customHeight="true" outlineLevel="0" collapsed="false">
      <c r="A1060" s="76"/>
      <c r="B1060" s="76"/>
      <c r="C1060" s="88"/>
      <c r="D1060" s="89"/>
      <c r="E1060" s="89"/>
      <c r="F1060" s="89"/>
      <c r="G1060" s="89"/>
      <c r="H1060" s="89"/>
      <c r="I1060" s="90"/>
      <c r="J1060" s="89"/>
      <c r="K1060" s="89"/>
      <c r="L1060" s="89"/>
      <c r="M1060" s="89"/>
      <c r="N1060" s="89"/>
      <c r="O1060" s="89"/>
      <c r="P1060" s="89"/>
      <c r="Q1060" s="89"/>
      <c r="R1060" s="89"/>
      <c r="S1060" s="89"/>
      <c r="T1060" s="89"/>
      <c r="U1060" s="89"/>
      <c r="V1060" s="89"/>
      <c r="W1060" s="89"/>
      <c r="X1060" s="89"/>
      <c r="Y1060" s="89"/>
      <c r="Z1060" s="89"/>
      <c r="AA1060" s="89"/>
      <c r="AB1060" s="89"/>
      <c r="AC1060" s="89"/>
      <c r="AD1060" s="89"/>
      <c r="AE1060" s="89"/>
      <c r="AF1060" s="89"/>
      <c r="AG1060" s="89"/>
      <c r="AH1060" s="89"/>
      <c r="AI1060" s="89"/>
      <c r="AJ1060" s="89"/>
      <c r="AK1060" s="89"/>
    </row>
    <row r="1061" customFormat="false" ht="15.75" hidden="false" customHeight="true" outlineLevel="0" collapsed="false">
      <c r="A1061" s="76"/>
      <c r="B1061" s="76"/>
      <c r="C1061" s="88"/>
      <c r="D1061" s="89"/>
      <c r="E1061" s="89"/>
      <c r="F1061" s="89"/>
      <c r="G1061" s="89"/>
      <c r="H1061" s="89"/>
      <c r="I1061" s="90"/>
      <c r="J1061" s="89"/>
      <c r="K1061" s="89"/>
      <c r="L1061" s="89"/>
      <c r="M1061" s="89"/>
      <c r="N1061" s="89"/>
      <c r="O1061" s="89"/>
      <c r="P1061" s="89"/>
      <c r="Q1061" s="89"/>
      <c r="R1061" s="89"/>
      <c r="S1061" s="89"/>
      <c r="T1061" s="89"/>
      <c r="U1061" s="89"/>
      <c r="V1061" s="89"/>
      <c r="W1061" s="89"/>
      <c r="X1061" s="89"/>
      <c r="Y1061" s="89"/>
      <c r="Z1061" s="89"/>
      <c r="AA1061" s="89"/>
      <c r="AB1061" s="89"/>
      <c r="AC1061" s="89"/>
      <c r="AD1061" s="89"/>
      <c r="AE1061" s="89"/>
      <c r="AF1061" s="89"/>
      <c r="AG1061" s="89"/>
      <c r="AH1061" s="89"/>
      <c r="AI1061" s="89"/>
      <c r="AJ1061" s="89"/>
      <c r="AK1061" s="89"/>
    </row>
    <row r="1062" customFormat="false" ht="15.75" hidden="false" customHeight="true" outlineLevel="0" collapsed="false">
      <c r="A1062" s="76"/>
      <c r="B1062" s="76"/>
      <c r="C1062" s="88"/>
      <c r="D1062" s="89"/>
      <c r="E1062" s="89"/>
      <c r="F1062" s="89"/>
      <c r="G1062" s="89"/>
      <c r="H1062" s="89"/>
      <c r="I1062" s="90"/>
      <c r="J1062" s="89"/>
      <c r="K1062" s="89"/>
      <c r="L1062" s="89"/>
      <c r="M1062" s="89"/>
      <c r="N1062" s="89"/>
      <c r="O1062" s="89"/>
      <c r="P1062" s="89"/>
      <c r="Q1062" s="89"/>
      <c r="R1062" s="89"/>
      <c r="S1062" s="89"/>
      <c r="T1062" s="89"/>
      <c r="U1062" s="89"/>
      <c r="V1062" s="89"/>
      <c r="W1062" s="89"/>
      <c r="X1062" s="89"/>
      <c r="Y1062" s="89"/>
      <c r="Z1062" s="89"/>
      <c r="AA1062" s="89"/>
      <c r="AB1062" s="89"/>
      <c r="AC1062" s="89"/>
      <c r="AD1062" s="89"/>
      <c r="AE1062" s="89"/>
      <c r="AF1062" s="89"/>
      <c r="AG1062" s="89"/>
      <c r="AH1062" s="89"/>
      <c r="AI1062" s="89"/>
      <c r="AJ1062" s="89"/>
      <c r="AK1062" s="89"/>
    </row>
    <row r="1063" customFormat="false" ht="15.75" hidden="false" customHeight="true" outlineLevel="0" collapsed="false">
      <c r="A1063" s="76"/>
      <c r="B1063" s="76"/>
      <c r="C1063" s="88"/>
      <c r="D1063" s="89"/>
      <c r="E1063" s="89"/>
      <c r="F1063" s="89"/>
      <c r="G1063" s="89"/>
      <c r="H1063" s="89"/>
      <c r="I1063" s="90"/>
      <c r="J1063" s="89"/>
      <c r="K1063" s="89"/>
      <c r="L1063" s="89"/>
      <c r="M1063" s="89"/>
      <c r="N1063" s="89"/>
      <c r="O1063" s="89"/>
      <c r="P1063" s="89"/>
      <c r="Q1063" s="89"/>
      <c r="R1063" s="89"/>
      <c r="S1063" s="89"/>
      <c r="T1063" s="89"/>
      <c r="U1063" s="89"/>
      <c r="V1063" s="89"/>
      <c r="W1063" s="89"/>
      <c r="X1063" s="89"/>
      <c r="Y1063" s="89"/>
      <c r="Z1063" s="89"/>
      <c r="AA1063" s="89"/>
      <c r="AB1063" s="89"/>
      <c r="AC1063" s="89"/>
      <c r="AD1063" s="89"/>
      <c r="AE1063" s="89"/>
      <c r="AF1063" s="89"/>
      <c r="AG1063" s="89"/>
      <c r="AH1063" s="89"/>
      <c r="AI1063" s="89"/>
      <c r="AJ1063" s="89"/>
      <c r="AK1063" s="89"/>
    </row>
    <row r="1064" customFormat="false" ht="15.75" hidden="false" customHeight="true" outlineLevel="0" collapsed="false">
      <c r="A1064" s="76"/>
      <c r="B1064" s="76"/>
      <c r="C1064" s="88"/>
      <c r="D1064" s="89"/>
      <c r="E1064" s="89"/>
      <c r="F1064" s="89"/>
      <c r="G1064" s="89"/>
      <c r="H1064" s="89"/>
      <c r="I1064" s="90"/>
      <c r="J1064" s="89"/>
      <c r="K1064" s="89"/>
      <c r="L1064" s="89"/>
      <c r="M1064" s="89"/>
      <c r="N1064" s="89"/>
      <c r="O1064" s="89"/>
      <c r="P1064" s="89"/>
      <c r="Q1064" s="89"/>
      <c r="R1064" s="89"/>
      <c r="S1064" s="89"/>
      <c r="T1064" s="89"/>
      <c r="U1064" s="89"/>
      <c r="V1064" s="89"/>
      <c r="W1064" s="89"/>
      <c r="X1064" s="89"/>
      <c r="Y1064" s="89"/>
      <c r="Z1064" s="89"/>
      <c r="AA1064" s="89"/>
      <c r="AB1064" s="89"/>
      <c r="AC1064" s="89"/>
      <c r="AD1064" s="89"/>
      <c r="AE1064" s="89"/>
      <c r="AF1064" s="89"/>
      <c r="AG1064" s="89"/>
      <c r="AH1064" s="89"/>
      <c r="AI1064" s="89"/>
      <c r="AJ1064" s="89"/>
      <c r="AK1064" s="89"/>
    </row>
    <row r="1065" customFormat="false" ht="15.75" hidden="false" customHeight="true" outlineLevel="0" collapsed="false">
      <c r="A1065" s="76"/>
      <c r="B1065" s="76"/>
      <c r="C1065" s="88"/>
      <c r="D1065" s="89"/>
      <c r="E1065" s="89"/>
      <c r="F1065" s="89"/>
      <c r="G1065" s="89"/>
      <c r="H1065" s="89"/>
      <c r="I1065" s="90"/>
      <c r="J1065" s="89"/>
      <c r="K1065" s="89"/>
      <c r="L1065" s="89"/>
      <c r="M1065" s="89"/>
      <c r="N1065" s="89"/>
      <c r="O1065" s="89"/>
      <c r="P1065" s="89"/>
      <c r="Q1065" s="89"/>
      <c r="R1065" s="89"/>
      <c r="S1065" s="89"/>
      <c r="T1065" s="89"/>
      <c r="U1065" s="89"/>
      <c r="V1065" s="89"/>
      <c r="W1065" s="89"/>
      <c r="X1065" s="89"/>
      <c r="Y1065" s="89"/>
      <c r="Z1065" s="89"/>
      <c r="AA1065" s="89"/>
      <c r="AB1065" s="89"/>
      <c r="AC1065" s="89"/>
      <c r="AD1065" s="89"/>
      <c r="AE1065" s="89"/>
      <c r="AF1065" s="89"/>
      <c r="AG1065" s="89"/>
      <c r="AH1065" s="89"/>
      <c r="AI1065" s="89"/>
      <c r="AJ1065" s="89"/>
      <c r="AK1065" s="89"/>
    </row>
    <row r="1066" customFormat="false" ht="15.75" hidden="false" customHeight="true" outlineLevel="0" collapsed="false">
      <c r="A1066" s="76"/>
      <c r="B1066" s="76"/>
      <c r="C1066" s="88"/>
      <c r="D1066" s="89"/>
      <c r="E1066" s="89"/>
      <c r="F1066" s="89"/>
      <c r="G1066" s="89"/>
      <c r="H1066" s="89"/>
      <c r="I1066" s="90"/>
      <c r="J1066" s="89"/>
      <c r="K1066" s="89"/>
      <c r="L1066" s="89"/>
      <c r="M1066" s="89"/>
      <c r="N1066" s="89"/>
      <c r="O1066" s="89"/>
      <c r="P1066" s="89"/>
      <c r="Q1066" s="89"/>
      <c r="R1066" s="89"/>
      <c r="S1066" s="89"/>
      <c r="T1066" s="89"/>
      <c r="U1066" s="89"/>
      <c r="V1066" s="89"/>
      <c r="W1066" s="89"/>
      <c r="X1066" s="89"/>
      <c r="Y1066" s="89"/>
      <c r="Z1066" s="89"/>
      <c r="AA1066" s="89"/>
      <c r="AB1066" s="89"/>
      <c r="AC1066" s="89"/>
      <c r="AD1066" s="89"/>
      <c r="AE1066" s="89"/>
      <c r="AF1066" s="89"/>
      <c r="AG1066" s="89"/>
      <c r="AH1066" s="89"/>
      <c r="AI1066" s="89"/>
      <c r="AJ1066" s="89"/>
      <c r="AK1066" s="89"/>
    </row>
    <row r="1067" customFormat="false" ht="15.75" hidden="false" customHeight="true" outlineLevel="0" collapsed="false">
      <c r="A1067" s="76"/>
      <c r="B1067" s="76"/>
      <c r="C1067" s="88"/>
      <c r="D1067" s="89"/>
      <c r="E1067" s="89"/>
      <c r="F1067" s="89"/>
      <c r="G1067" s="89"/>
      <c r="H1067" s="89"/>
      <c r="I1067" s="90"/>
      <c r="J1067" s="89"/>
      <c r="K1067" s="89"/>
      <c r="L1067" s="89"/>
      <c r="M1067" s="89"/>
      <c r="N1067" s="89"/>
      <c r="O1067" s="89"/>
      <c r="P1067" s="89"/>
      <c r="Q1067" s="89"/>
      <c r="R1067" s="89"/>
      <c r="S1067" s="89"/>
      <c r="T1067" s="89"/>
      <c r="U1067" s="89"/>
      <c r="V1067" s="89"/>
      <c r="W1067" s="89"/>
      <c r="X1067" s="89"/>
      <c r="Y1067" s="89"/>
      <c r="Z1067" s="89"/>
      <c r="AA1067" s="89"/>
      <c r="AB1067" s="89"/>
      <c r="AC1067" s="89"/>
      <c r="AD1067" s="89"/>
      <c r="AE1067" s="89"/>
      <c r="AF1067" s="89"/>
      <c r="AG1067" s="89"/>
      <c r="AH1067" s="89"/>
      <c r="AI1067" s="89"/>
      <c r="AJ1067" s="89"/>
      <c r="AK1067" s="89"/>
    </row>
    <row r="1068" customFormat="false" ht="15.75" hidden="false" customHeight="true" outlineLevel="0" collapsed="false">
      <c r="A1068" s="76"/>
      <c r="B1068" s="76"/>
      <c r="C1068" s="88"/>
      <c r="D1068" s="89"/>
      <c r="E1068" s="89"/>
      <c r="F1068" s="89"/>
      <c r="G1068" s="89"/>
      <c r="H1068" s="89"/>
      <c r="I1068" s="90"/>
      <c r="J1068" s="89"/>
      <c r="K1068" s="89"/>
      <c r="L1068" s="89"/>
      <c r="M1068" s="89"/>
      <c r="N1068" s="89"/>
      <c r="O1068" s="89"/>
      <c r="P1068" s="89"/>
      <c r="Q1068" s="89"/>
      <c r="R1068" s="89"/>
      <c r="S1068" s="89"/>
      <c r="T1068" s="89"/>
      <c r="U1068" s="89"/>
      <c r="V1068" s="89"/>
      <c r="W1068" s="89"/>
      <c r="X1068" s="89"/>
      <c r="Y1068" s="89"/>
      <c r="Z1068" s="89"/>
      <c r="AA1068" s="89"/>
      <c r="AB1068" s="89"/>
      <c r="AC1068" s="89"/>
      <c r="AD1068" s="89"/>
      <c r="AE1068" s="89"/>
      <c r="AF1068" s="89"/>
      <c r="AG1068" s="89"/>
      <c r="AH1068" s="89"/>
      <c r="AI1068" s="89"/>
      <c r="AJ1068" s="89"/>
      <c r="AK1068" s="89"/>
    </row>
    <row r="1069" customFormat="false" ht="15.75" hidden="false" customHeight="true" outlineLevel="0" collapsed="false">
      <c r="A1069" s="76"/>
      <c r="B1069" s="76"/>
      <c r="C1069" s="88"/>
      <c r="D1069" s="89"/>
      <c r="E1069" s="89"/>
      <c r="F1069" s="89"/>
      <c r="G1069" s="89"/>
      <c r="H1069" s="89"/>
      <c r="I1069" s="90"/>
      <c r="J1069" s="89"/>
      <c r="K1069" s="89"/>
      <c r="L1069" s="89"/>
      <c r="M1069" s="89"/>
      <c r="N1069" s="89"/>
      <c r="O1069" s="89"/>
      <c r="P1069" s="89"/>
      <c r="Q1069" s="89"/>
      <c r="R1069" s="89"/>
      <c r="S1069" s="89"/>
      <c r="T1069" s="89"/>
      <c r="U1069" s="89"/>
      <c r="V1069" s="89"/>
      <c r="W1069" s="89"/>
      <c r="X1069" s="89"/>
      <c r="Y1069" s="89"/>
      <c r="Z1069" s="89"/>
      <c r="AA1069" s="89"/>
      <c r="AB1069" s="89"/>
      <c r="AC1069" s="89"/>
      <c r="AD1069" s="89"/>
      <c r="AE1069" s="89"/>
      <c r="AF1069" s="89"/>
      <c r="AG1069" s="89"/>
      <c r="AH1069" s="89"/>
      <c r="AI1069" s="89"/>
      <c r="AJ1069" s="89"/>
      <c r="AK1069" s="89"/>
    </row>
    <row r="1070" customFormat="false" ht="15.75" hidden="false" customHeight="true" outlineLevel="0" collapsed="false">
      <c r="A1070" s="76"/>
      <c r="B1070" s="76"/>
      <c r="C1070" s="88"/>
      <c r="D1070" s="89"/>
      <c r="E1070" s="89"/>
      <c r="F1070" s="89"/>
      <c r="G1070" s="89"/>
      <c r="H1070" s="89"/>
      <c r="I1070" s="90"/>
      <c r="J1070" s="89"/>
      <c r="K1070" s="89"/>
      <c r="L1070" s="89"/>
      <c r="M1070" s="89"/>
      <c r="N1070" s="89"/>
      <c r="O1070" s="89"/>
      <c r="P1070" s="89"/>
      <c r="Q1070" s="89"/>
      <c r="R1070" s="89"/>
      <c r="S1070" s="89"/>
      <c r="T1070" s="89"/>
      <c r="U1070" s="89"/>
      <c r="V1070" s="89"/>
      <c r="W1070" s="89"/>
      <c r="X1070" s="89"/>
      <c r="Y1070" s="89"/>
      <c r="Z1070" s="89"/>
      <c r="AA1070" s="89"/>
      <c r="AB1070" s="89"/>
      <c r="AC1070" s="89"/>
      <c r="AD1070" s="89"/>
      <c r="AE1070" s="89"/>
      <c r="AF1070" s="89"/>
      <c r="AG1070" s="89"/>
      <c r="AH1070" s="89"/>
      <c r="AI1070" s="89"/>
      <c r="AJ1070" s="89"/>
      <c r="AK1070" s="89"/>
    </row>
    <row r="1071" customFormat="false" ht="15.75" hidden="false" customHeight="true" outlineLevel="0" collapsed="false">
      <c r="A1071" s="76"/>
      <c r="B1071" s="76"/>
      <c r="C1071" s="88"/>
      <c r="D1071" s="89"/>
      <c r="E1071" s="89"/>
      <c r="F1071" s="89"/>
      <c r="G1071" s="89"/>
      <c r="H1071" s="89"/>
      <c r="I1071" s="90"/>
      <c r="J1071" s="89"/>
      <c r="K1071" s="89"/>
      <c r="L1071" s="89"/>
      <c r="M1071" s="89"/>
      <c r="N1071" s="89"/>
      <c r="O1071" s="89"/>
      <c r="P1071" s="89"/>
      <c r="Q1071" s="89"/>
      <c r="R1071" s="89"/>
      <c r="S1071" s="89"/>
      <c r="T1071" s="89"/>
      <c r="U1071" s="89"/>
      <c r="V1071" s="89"/>
      <c r="W1071" s="89"/>
      <c r="X1071" s="89"/>
      <c r="Y1071" s="89"/>
      <c r="Z1071" s="89"/>
      <c r="AA1071" s="89"/>
      <c r="AB1071" s="89"/>
      <c r="AC1071" s="89"/>
      <c r="AD1071" s="89"/>
      <c r="AE1071" s="89"/>
      <c r="AF1071" s="89"/>
      <c r="AG1071" s="89"/>
      <c r="AH1071" s="89"/>
      <c r="AI1071" s="89"/>
      <c r="AJ1071" s="89"/>
      <c r="AK1071" s="89"/>
    </row>
    <row r="1072" customFormat="false" ht="15.75" hidden="false" customHeight="true" outlineLevel="0" collapsed="false">
      <c r="A1072" s="76"/>
      <c r="B1072" s="76"/>
      <c r="C1072" s="88"/>
      <c r="D1072" s="89"/>
      <c r="E1072" s="89"/>
      <c r="F1072" s="89"/>
      <c r="G1072" s="89"/>
      <c r="H1072" s="89"/>
      <c r="I1072" s="90"/>
      <c r="J1072" s="89"/>
      <c r="K1072" s="89"/>
      <c r="L1072" s="89"/>
      <c r="M1072" s="89"/>
      <c r="N1072" s="89"/>
      <c r="O1072" s="89"/>
      <c r="P1072" s="89"/>
      <c r="Q1072" s="89"/>
      <c r="R1072" s="89"/>
      <c r="S1072" s="89"/>
      <c r="T1072" s="89"/>
      <c r="U1072" s="89"/>
      <c r="V1072" s="89"/>
      <c r="W1072" s="89"/>
      <c r="X1072" s="89"/>
      <c r="Y1072" s="89"/>
      <c r="Z1072" s="89"/>
      <c r="AA1072" s="89"/>
      <c r="AB1072" s="89"/>
      <c r="AC1072" s="89"/>
      <c r="AD1072" s="89"/>
      <c r="AE1072" s="89"/>
      <c r="AF1072" s="89"/>
      <c r="AG1072" s="89"/>
      <c r="AH1072" s="89"/>
      <c r="AI1072" s="89"/>
      <c r="AJ1072" s="89"/>
      <c r="AK1072" s="89"/>
    </row>
    <row r="1073" customFormat="false" ht="15.75" hidden="false" customHeight="true" outlineLevel="0" collapsed="false">
      <c r="A1073" s="76"/>
      <c r="B1073" s="76"/>
      <c r="C1073" s="88"/>
      <c r="D1073" s="89"/>
      <c r="E1073" s="89"/>
      <c r="F1073" s="89"/>
      <c r="G1073" s="89"/>
      <c r="H1073" s="89"/>
      <c r="I1073" s="90"/>
      <c r="J1073" s="89"/>
      <c r="K1073" s="89"/>
      <c r="L1073" s="89"/>
      <c r="M1073" s="89"/>
      <c r="N1073" s="89"/>
      <c r="O1073" s="89"/>
      <c r="P1073" s="89"/>
      <c r="Q1073" s="89"/>
      <c r="R1073" s="89"/>
      <c r="S1073" s="89"/>
      <c r="T1073" s="89"/>
      <c r="U1073" s="89"/>
      <c r="V1073" s="89"/>
      <c r="W1073" s="89"/>
      <c r="X1073" s="89"/>
      <c r="Y1073" s="89"/>
      <c r="Z1073" s="89"/>
      <c r="AA1073" s="89"/>
      <c r="AB1073" s="89"/>
      <c r="AC1073" s="89"/>
      <c r="AD1073" s="89"/>
      <c r="AE1073" s="89"/>
      <c r="AF1073" s="89"/>
      <c r="AG1073" s="89"/>
      <c r="AH1073" s="89"/>
      <c r="AI1073" s="89"/>
      <c r="AJ1073" s="89"/>
      <c r="AK1073" s="89"/>
    </row>
    <row r="1074" customFormat="false" ht="15.75" hidden="false" customHeight="true" outlineLevel="0" collapsed="false">
      <c r="A1074" s="76"/>
      <c r="B1074" s="76"/>
      <c r="C1074" s="88"/>
      <c r="D1074" s="89"/>
      <c r="E1074" s="89"/>
      <c r="F1074" s="89"/>
      <c r="G1074" s="89"/>
      <c r="H1074" s="89"/>
      <c r="I1074" s="90"/>
      <c r="J1074" s="89"/>
      <c r="K1074" s="89"/>
      <c r="L1074" s="89"/>
      <c r="M1074" s="89"/>
      <c r="N1074" s="89"/>
      <c r="O1074" s="89"/>
      <c r="P1074" s="89"/>
      <c r="Q1074" s="89"/>
      <c r="R1074" s="89"/>
      <c r="S1074" s="89"/>
      <c r="T1074" s="89"/>
      <c r="U1074" s="89"/>
      <c r="V1074" s="89"/>
      <c r="W1074" s="89"/>
      <c r="X1074" s="89"/>
      <c r="Y1074" s="89"/>
      <c r="Z1074" s="89"/>
      <c r="AA1074" s="89"/>
      <c r="AB1074" s="89"/>
      <c r="AC1074" s="89"/>
      <c r="AD1074" s="89"/>
      <c r="AE1074" s="89"/>
      <c r="AF1074" s="89"/>
      <c r="AG1074" s="89"/>
      <c r="AH1074" s="89"/>
      <c r="AI1074" s="89"/>
      <c r="AJ1074" s="89"/>
      <c r="AK1074" s="89"/>
    </row>
    <row r="1075" customFormat="false" ht="15.75" hidden="false" customHeight="true" outlineLevel="0" collapsed="false">
      <c r="A1075" s="76"/>
      <c r="B1075" s="76"/>
      <c r="C1075" s="88"/>
      <c r="D1075" s="89"/>
      <c r="E1075" s="89"/>
      <c r="F1075" s="89"/>
      <c r="G1075" s="89"/>
      <c r="H1075" s="89"/>
      <c r="I1075" s="90"/>
      <c r="J1075" s="89"/>
      <c r="K1075" s="89"/>
      <c r="L1075" s="89"/>
      <c r="M1075" s="89"/>
      <c r="N1075" s="89"/>
      <c r="O1075" s="89"/>
      <c r="P1075" s="89"/>
      <c r="Q1075" s="89"/>
      <c r="R1075" s="89"/>
      <c r="S1075" s="89"/>
      <c r="T1075" s="89"/>
      <c r="U1075" s="89"/>
      <c r="V1075" s="89"/>
      <c r="W1075" s="89"/>
      <c r="X1075" s="89"/>
      <c r="Y1075" s="89"/>
      <c r="Z1075" s="89"/>
      <c r="AA1075" s="89"/>
      <c r="AB1075" s="89"/>
      <c r="AC1075" s="89"/>
      <c r="AD1075" s="89"/>
      <c r="AE1075" s="89"/>
      <c r="AF1075" s="89"/>
      <c r="AG1075" s="89"/>
      <c r="AH1075" s="89"/>
      <c r="AI1075" s="89"/>
      <c r="AJ1075" s="89"/>
      <c r="AK1075" s="89"/>
    </row>
    <row r="1076" customFormat="false" ht="15.75" hidden="false" customHeight="true" outlineLevel="0" collapsed="false">
      <c r="A1076" s="76"/>
      <c r="B1076" s="76"/>
      <c r="C1076" s="88"/>
      <c r="D1076" s="89"/>
      <c r="E1076" s="89"/>
      <c r="F1076" s="89"/>
      <c r="G1076" s="89"/>
      <c r="H1076" s="89"/>
      <c r="I1076" s="90"/>
      <c r="J1076" s="89"/>
      <c r="K1076" s="89"/>
      <c r="L1076" s="89"/>
      <c r="M1076" s="89"/>
      <c r="N1076" s="89"/>
      <c r="O1076" s="89"/>
      <c r="P1076" s="89"/>
      <c r="Q1076" s="89"/>
      <c r="R1076" s="89"/>
      <c r="S1076" s="89"/>
      <c r="T1076" s="89"/>
      <c r="U1076" s="89"/>
      <c r="V1076" s="89"/>
      <c r="W1076" s="89"/>
      <c r="X1076" s="89"/>
      <c r="Y1076" s="89"/>
      <c r="Z1076" s="89"/>
      <c r="AA1076" s="89"/>
      <c r="AB1076" s="89"/>
      <c r="AC1076" s="89"/>
      <c r="AD1076" s="89"/>
      <c r="AE1076" s="89"/>
      <c r="AF1076" s="89"/>
      <c r="AG1076" s="89"/>
      <c r="AH1076" s="89"/>
      <c r="AI1076" s="89"/>
      <c r="AJ1076" s="89"/>
      <c r="AK1076" s="89"/>
    </row>
    <row r="1077" customFormat="false" ht="15.75" hidden="false" customHeight="true" outlineLevel="0" collapsed="false">
      <c r="A1077" s="76"/>
      <c r="B1077" s="76"/>
      <c r="C1077" s="88"/>
      <c r="D1077" s="89"/>
      <c r="E1077" s="89"/>
      <c r="F1077" s="89"/>
      <c r="G1077" s="89"/>
      <c r="H1077" s="89"/>
      <c r="I1077" s="90"/>
      <c r="J1077" s="89"/>
      <c r="K1077" s="89"/>
      <c r="L1077" s="89"/>
      <c r="M1077" s="89"/>
      <c r="N1077" s="89"/>
      <c r="O1077" s="89"/>
      <c r="P1077" s="89"/>
      <c r="Q1077" s="89"/>
      <c r="R1077" s="89"/>
      <c r="S1077" s="89"/>
      <c r="T1077" s="89"/>
      <c r="U1077" s="89"/>
      <c r="V1077" s="89"/>
      <c r="W1077" s="89"/>
      <c r="X1077" s="89"/>
      <c r="Y1077" s="89"/>
      <c r="Z1077" s="89"/>
      <c r="AA1077" s="89"/>
      <c r="AB1077" s="89"/>
      <c r="AC1077" s="89"/>
      <c r="AD1077" s="89"/>
      <c r="AE1077" s="89"/>
      <c r="AF1077" s="89"/>
      <c r="AG1077" s="89"/>
      <c r="AH1077" s="89"/>
      <c r="AI1077" s="89"/>
      <c r="AJ1077" s="89"/>
      <c r="AK1077" s="89"/>
    </row>
    <row r="1078" customFormat="false" ht="15.75" hidden="false" customHeight="true" outlineLevel="0" collapsed="false">
      <c r="A1078" s="76"/>
      <c r="B1078" s="76"/>
      <c r="C1078" s="88"/>
      <c r="D1078" s="89"/>
      <c r="E1078" s="89"/>
      <c r="F1078" s="89"/>
      <c r="G1078" s="89"/>
      <c r="H1078" s="89"/>
      <c r="I1078" s="90"/>
      <c r="J1078" s="89"/>
      <c r="K1078" s="89"/>
      <c r="L1078" s="89"/>
      <c r="M1078" s="89"/>
      <c r="N1078" s="89"/>
      <c r="O1078" s="89"/>
      <c r="P1078" s="89"/>
      <c r="Q1078" s="89"/>
      <c r="R1078" s="89"/>
      <c r="S1078" s="89"/>
      <c r="T1078" s="89"/>
      <c r="U1078" s="89"/>
      <c r="V1078" s="89"/>
      <c r="W1078" s="89"/>
      <c r="X1078" s="89"/>
      <c r="Y1078" s="89"/>
      <c r="Z1078" s="89"/>
      <c r="AA1078" s="89"/>
      <c r="AB1078" s="89"/>
      <c r="AC1078" s="89"/>
      <c r="AD1078" s="89"/>
      <c r="AE1078" s="89"/>
      <c r="AF1078" s="89"/>
      <c r="AG1078" s="89"/>
      <c r="AH1078" s="89"/>
      <c r="AI1078" s="89"/>
      <c r="AJ1078" s="89"/>
      <c r="AK1078" s="89"/>
    </row>
    <row r="1079" customFormat="false" ht="15.75" hidden="false" customHeight="true" outlineLevel="0" collapsed="false">
      <c r="A1079" s="76"/>
      <c r="B1079" s="76"/>
      <c r="C1079" s="88"/>
      <c r="D1079" s="89"/>
      <c r="E1079" s="89"/>
      <c r="F1079" s="89"/>
      <c r="G1079" s="89"/>
      <c r="H1079" s="89"/>
      <c r="I1079" s="90"/>
      <c r="J1079" s="89"/>
      <c r="K1079" s="89"/>
      <c r="L1079" s="89"/>
      <c r="M1079" s="89"/>
      <c r="N1079" s="89"/>
      <c r="O1079" s="89"/>
      <c r="P1079" s="89"/>
      <c r="Q1079" s="89"/>
      <c r="R1079" s="89"/>
      <c r="S1079" s="89"/>
      <c r="T1079" s="89"/>
      <c r="U1079" s="89"/>
      <c r="V1079" s="89"/>
      <c r="W1079" s="89"/>
      <c r="X1079" s="89"/>
      <c r="Y1079" s="89"/>
      <c r="Z1079" s="89"/>
      <c r="AA1079" s="89"/>
      <c r="AB1079" s="89"/>
      <c r="AC1079" s="89"/>
      <c r="AD1079" s="89"/>
      <c r="AE1079" s="89"/>
      <c r="AF1079" s="89"/>
      <c r="AG1079" s="89"/>
      <c r="AH1079" s="89"/>
      <c r="AI1079" s="89"/>
      <c r="AJ1079" s="89"/>
      <c r="AK1079" s="89"/>
    </row>
    <row r="1080" customFormat="false" ht="15.75" hidden="false" customHeight="true" outlineLevel="0" collapsed="false">
      <c r="A1080" s="76"/>
      <c r="B1080" s="76"/>
      <c r="C1080" s="88"/>
      <c r="D1080" s="89"/>
      <c r="E1080" s="89"/>
      <c r="F1080" s="89"/>
      <c r="G1080" s="89"/>
      <c r="H1080" s="89"/>
      <c r="I1080" s="90"/>
      <c r="J1080" s="89"/>
      <c r="K1080" s="89"/>
      <c r="L1080" s="89"/>
      <c r="M1080" s="89"/>
      <c r="N1080" s="89"/>
      <c r="O1080" s="89"/>
      <c r="P1080" s="89"/>
      <c r="Q1080" s="89"/>
      <c r="R1080" s="89"/>
      <c r="S1080" s="89"/>
      <c r="T1080" s="89"/>
      <c r="U1080" s="89"/>
      <c r="V1080" s="89"/>
      <c r="W1080" s="89"/>
      <c r="X1080" s="89"/>
      <c r="Y1080" s="89"/>
      <c r="Z1080" s="89"/>
      <c r="AA1080" s="89"/>
      <c r="AB1080" s="89"/>
      <c r="AC1080" s="89"/>
      <c r="AD1080" s="89"/>
      <c r="AE1080" s="89"/>
      <c r="AF1080" s="89"/>
      <c r="AG1080" s="89"/>
      <c r="AH1080" s="89"/>
      <c r="AI1080" s="89"/>
      <c r="AJ1080" s="89"/>
      <c r="AK1080" s="89"/>
    </row>
    <row r="1081" customFormat="false" ht="15.75" hidden="false" customHeight="true" outlineLevel="0" collapsed="false">
      <c r="A1081" s="76"/>
      <c r="B1081" s="76"/>
      <c r="C1081" s="88"/>
      <c r="D1081" s="89"/>
      <c r="E1081" s="89"/>
      <c r="F1081" s="89"/>
      <c r="G1081" s="89"/>
      <c r="H1081" s="89"/>
      <c r="I1081" s="90"/>
      <c r="J1081" s="89"/>
      <c r="K1081" s="89"/>
      <c r="L1081" s="89"/>
      <c r="M1081" s="89"/>
      <c r="N1081" s="89"/>
      <c r="O1081" s="89"/>
      <c r="P1081" s="89"/>
      <c r="Q1081" s="89"/>
      <c r="R1081" s="89"/>
      <c r="S1081" s="89"/>
      <c r="T1081" s="89"/>
      <c r="U1081" s="89"/>
      <c r="V1081" s="89"/>
      <c r="W1081" s="89"/>
      <c r="X1081" s="89"/>
      <c r="Y1081" s="89"/>
      <c r="Z1081" s="89"/>
      <c r="AA1081" s="89"/>
      <c r="AB1081" s="89"/>
      <c r="AC1081" s="89"/>
      <c r="AD1081" s="89"/>
      <c r="AE1081" s="89"/>
      <c r="AF1081" s="89"/>
      <c r="AG1081" s="89"/>
      <c r="AH1081" s="89"/>
      <c r="AI1081" s="89"/>
      <c r="AJ1081" s="89"/>
      <c r="AK1081" s="89"/>
    </row>
    <row r="1082" customFormat="false" ht="15.75" hidden="false" customHeight="true" outlineLevel="0" collapsed="false">
      <c r="A1082" s="76"/>
      <c r="B1082" s="76"/>
      <c r="C1082" s="88"/>
      <c r="D1082" s="89"/>
      <c r="E1082" s="89"/>
      <c r="F1082" s="89"/>
      <c r="G1082" s="89"/>
      <c r="H1082" s="89"/>
      <c r="I1082" s="90"/>
      <c r="J1082" s="89"/>
      <c r="K1082" s="89"/>
      <c r="L1082" s="89"/>
      <c r="M1082" s="89"/>
      <c r="N1082" s="89"/>
      <c r="O1082" s="89"/>
      <c r="P1082" s="89"/>
      <c r="Q1082" s="89"/>
      <c r="R1082" s="89"/>
      <c r="S1082" s="89"/>
      <c r="T1082" s="89"/>
      <c r="U1082" s="89"/>
      <c r="V1082" s="89"/>
      <c r="W1082" s="89"/>
      <c r="X1082" s="89"/>
      <c r="Y1082" s="89"/>
      <c r="Z1082" s="89"/>
      <c r="AA1082" s="89"/>
      <c r="AB1082" s="89"/>
      <c r="AC1082" s="89"/>
      <c r="AD1082" s="89"/>
      <c r="AE1082" s="89"/>
      <c r="AF1082" s="89"/>
      <c r="AG1082" s="89"/>
      <c r="AH1082" s="89"/>
      <c r="AI1082" s="89"/>
      <c r="AJ1082" s="89"/>
      <c r="AK1082" s="89"/>
    </row>
    <row r="1083" customFormat="false" ht="15.75" hidden="false" customHeight="true" outlineLevel="0" collapsed="false">
      <c r="A1083" s="76"/>
      <c r="B1083" s="76"/>
      <c r="C1083" s="88"/>
      <c r="D1083" s="89"/>
      <c r="E1083" s="89"/>
      <c r="F1083" s="89"/>
      <c r="G1083" s="89"/>
      <c r="H1083" s="89"/>
      <c r="I1083" s="90"/>
      <c r="J1083" s="89"/>
      <c r="K1083" s="89"/>
      <c r="L1083" s="89"/>
      <c r="M1083" s="89"/>
      <c r="N1083" s="89"/>
      <c r="O1083" s="89"/>
      <c r="P1083" s="89"/>
      <c r="Q1083" s="89"/>
      <c r="R1083" s="89"/>
      <c r="S1083" s="89"/>
      <c r="T1083" s="89"/>
      <c r="U1083" s="89"/>
      <c r="V1083" s="89"/>
      <c r="W1083" s="89"/>
      <c r="X1083" s="89"/>
      <c r="Y1083" s="89"/>
      <c r="Z1083" s="89"/>
      <c r="AA1083" s="89"/>
      <c r="AB1083" s="89"/>
      <c r="AC1083" s="89"/>
      <c r="AD1083" s="89"/>
      <c r="AE1083" s="89"/>
      <c r="AF1083" s="89"/>
      <c r="AG1083" s="89"/>
      <c r="AH1083" s="89"/>
      <c r="AI1083" s="89"/>
      <c r="AJ1083" s="89"/>
      <c r="AK1083" s="89"/>
    </row>
    <row r="1084" customFormat="false" ht="15.75" hidden="false" customHeight="true" outlineLevel="0" collapsed="false">
      <c r="A1084" s="76"/>
      <c r="B1084" s="76"/>
      <c r="C1084" s="88"/>
      <c r="D1084" s="89"/>
      <c r="E1084" s="89"/>
      <c r="F1084" s="89"/>
      <c r="G1084" s="89"/>
      <c r="H1084" s="89"/>
      <c r="I1084" s="90"/>
      <c r="J1084" s="89"/>
      <c r="K1084" s="89"/>
      <c r="L1084" s="89"/>
      <c r="M1084" s="89"/>
      <c r="N1084" s="89"/>
      <c r="O1084" s="89"/>
      <c r="P1084" s="89"/>
      <c r="Q1084" s="89"/>
      <c r="R1084" s="89"/>
      <c r="S1084" s="89"/>
      <c r="T1084" s="89"/>
      <c r="U1084" s="89"/>
      <c r="V1084" s="89"/>
      <c r="W1084" s="89"/>
      <c r="X1084" s="89"/>
      <c r="Y1084" s="89"/>
      <c r="Z1084" s="89"/>
      <c r="AA1084" s="89"/>
      <c r="AB1084" s="89"/>
      <c r="AC1084" s="89"/>
      <c r="AD1084" s="89"/>
      <c r="AE1084" s="89"/>
      <c r="AF1084" s="89"/>
      <c r="AG1084" s="89"/>
      <c r="AH1084" s="89"/>
      <c r="AI1084" s="89"/>
      <c r="AJ1084" s="89"/>
      <c r="AK1084" s="89"/>
    </row>
    <row r="1085" customFormat="false" ht="15.75" hidden="false" customHeight="true" outlineLevel="0" collapsed="false">
      <c r="A1085" s="76"/>
      <c r="B1085" s="76"/>
      <c r="C1085" s="88"/>
      <c r="D1085" s="89"/>
      <c r="E1085" s="89"/>
      <c r="F1085" s="89"/>
      <c r="G1085" s="89"/>
      <c r="H1085" s="89"/>
      <c r="I1085" s="90"/>
      <c r="J1085" s="89"/>
      <c r="K1085" s="89"/>
      <c r="L1085" s="89"/>
      <c r="M1085" s="89"/>
      <c r="N1085" s="89"/>
      <c r="O1085" s="89"/>
      <c r="P1085" s="89"/>
      <c r="Q1085" s="89"/>
      <c r="R1085" s="89"/>
      <c r="S1085" s="89"/>
      <c r="T1085" s="89"/>
      <c r="U1085" s="89"/>
      <c r="V1085" s="89"/>
      <c r="W1085" s="89"/>
      <c r="X1085" s="89"/>
      <c r="Y1085" s="89"/>
      <c r="Z1085" s="89"/>
      <c r="AA1085" s="89"/>
      <c r="AB1085" s="89"/>
      <c r="AC1085" s="89"/>
      <c r="AD1085" s="89"/>
      <c r="AE1085" s="89"/>
      <c r="AF1085" s="89"/>
      <c r="AG1085" s="89"/>
      <c r="AH1085" s="89"/>
      <c r="AI1085" s="89"/>
      <c r="AJ1085" s="89"/>
      <c r="AK1085" s="89"/>
    </row>
    <row r="1086" customFormat="false" ht="15.75" hidden="false" customHeight="true" outlineLevel="0" collapsed="false">
      <c r="A1086" s="76"/>
      <c r="B1086" s="76"/>
      <c r="C1086" s="88"/>
      <c r="D1086" s="89"/>
      <c r="E1086" s="89"/>
      <c r="F1086" s="89"/>
      <c r="G1086" s="89"/>
      <c r="H1086" s="89"/>
      <c r="I1086" s="90"/>
      <c r="J1086" s="89"/>
      <c r="K1086" s="89"/>
      <c r="L1086" s="89"/>
      <c r="M1086" s="89"/>
      <c r="N1086" s="89"/>
      <c r="O1086" s="89"/>
      <c r="P1086" s="89"/>
      <c r="Q1086" s="89"/>
      <c r="R1086" s="89"/>
      <c r="S1086" s="89"/>
      <c r="T1086" s="89"/>
      <c r="U1086" s="89"/>
      <c r="V1086" s="89"/>
      <c r="W1086" s="89"/>
      <c r="X1086" s="89"/>
      <c r="Y1086" s="89"/>
      <c r="Z1086" s="89"/>
      <c r="AA1086" s="89"/>
      <c r="AB1086" s="89"/>
      <c r="AC1086" s="89"/>
      <c r="AD1086" s="89"/>
      <c r="AE1086" s="89"/>
      <c r="AF1086" s="89"/>
      <c r="AG1086" s="89"/>
      <c r="AH1086" s="89"/>
      <c r="AI1086" s="89"/>
      <c r="AJ1086" s="89"/>
      <c r="AK1086" s="89"/>
    </row>
    <row r="1087" customFormat="false" ht="15.75" hidden="false" customHeight="true" outlineLevel="0" collapsed="false">
      <c r="A1087" s="76"/>
      <c r="B1087" s="76"/>
      <c r="C1087" s="88"/>
      <c r="D1087" s="89"/>
      <c r="E1087" s="89"/>
      <c r="F1087" s="89"/>
      <c r="G1087" s="89"/>
      <c r="H1087" s="89"/>
      <c r="I1087" s="90"/>
      <c r="J1087" s="89"/>
      <c r="K1087" s="89"/>
      <c r="L1087" s="89"/>
      <c r="M1087" s="89"/>
      <c r="N1087" s="89"/>
      <c r="O1087" s="89"/>
      <c r="P1087" s="89"/>
      <c r="Q1087" s="89"/>
      <c r="R1087" s="89"/>
      <c r="S1087" s="89"/>
      <c r="T1087" s="89"/>
      <c r="U1087" s="89"/>
      <c r="V1087" s="89"/>
      <c r="W1087" s="89"/>
      <c r="X1087" s="89"/>
      <c r="Y1087" s="89"/>
      <c r="Z1087" s="89"/>
      <c r="AA1087" s="89"/>
      <c r="AB1087" s="89"/>
      <c r="AC1087" s="89"/>
      <c r="AD1087" s="89"/>
      <c r="AE1087" s="89"/>
      <c r="AF1087" s="89"/>
      <c r="AG1087" s="89"/>
      <c r="AH1087" s="89"/>
      <c r="AI1087" s="89"/>
      <c r="AJ1087" s="89"/>
      <c r="AK1087" s="89"/>
    </row>
    <row r="1088" customFormat="false" ht="15.75" hidden="false" customHeight="true" outlineLevel="0" collapsed="false">
      <c r="A1088" s="76"/>
      <c r="B1088" s="76"/>
      <c r="C1088" s="88"/>
      <c r="D1088" s="89"/>
      <c r="E1088" s="89"/>
      <c r="F1088" s="89"/>
      <c r="G1088" s="89"/>
      <c r="H1088" s="89"/>
      <c r="I1088" s="90"/>
      <c r="J1088" s="89"/>
      <c r="K1088" s="89"/>
      <c r="L1088" s="89"/>
      <c r="M1088" s="89"/>
      <c r="N1088" s="89"/>
      <c r="O1088" s="89"/>
      <c r="P1088" s="89"/>
      <c r="Q1088" s="89"/>
      <c r="R1088" s="89"/>
      <c r="S1088" s="89"/>
      <c r="T1088" s="89"/>
      <c r="U1088" s="89"/>
      <c r="V1088" s="89"/>
      <c r="W1088" s="89"/>
      <c r="X1088" s="89"/>
      <c r="Y1088" s="89"/>
      <c r="Z1088" s="89"/>
      <c r="AA1088" s="89"/>
      <c r="AB1088" s="89"/>
      <c r="AC1088" s="89"/>
      <c r="AD1088" s="89"/>
      <c r="AE1088" s="89"/>
      <c r="AF1088" s="89"/>
      <c r="AG1088" s="89"/>
      <c r="AH1088" s="89"/>
      <c r="AI1088" s="89"/>
      <c r="AJ1088" s="89"/>
      <c r="AK1088" s="89"/>
    </row>
    <row r="1089" customFormat="false" ht="15.75" hidden="false" customHeight="true" outlineLevel="0" collapsed="false">
      <c r="A1089" s="76"/>
      <c r="B1089" s="76"/>
      <c r="C1089" s="88"/>
      <c r="D1089" s="89"/>
      <c r="E1089" s="89"/>
      <c r="F1089" s="89"/>
      <c r="G1089" s="89"/>
      <c r="H1089" s="89"/>
      <c r="I1089" s="90"/>
      <c r="J1089" s="89"/>
      <c r="K1089" s="89"/>
      <c r="L1089" s="89"/>
      <c r="M1089" s="89"/>
      <c r="N1089" s="89"/>
      <c r="O1089" s="89"/>
      <c r="P1089" s="89"/>
      <c r="Q1089" s="89"/>
      <c r="R1089" s="89"/>
      <c r="S1089" s="89"/>
      <c r="T1089" s="89"/>
      <c r="U1089" s="89"/>
      <c r="V1089" s="89"/>
      <c r="W1089" s="89"/>
      <c r="X1089" s="89"/>
      <c r="Y1089" s="89"/>
      <c r="Z1089" s="89"/>
      <c r="AA1089" s="89"/>
      <c r="AB1089" s="89"/>
      <c r="AC1089" s="89"/>
      <c r="AD1089" s="89"/>
      <c r="AE1089" s="89"/>
      <c r="AF1089" s="89"/>
      <c r="AG1089" s="89"/>
      <c r="AH1089" s="89"/>
      <c r="AI1089" s="89"/>
      <c r="AJ1089" s="89"/>
      <c r="AK1089" s="89"/>
    </row>
    <row r="1090" customFormat="false" ht="15.75" hidden="false" customHeight="true" outlineLevel="0" collapsed="false">
      <c r="A1090" s="76"/>
      <c r="B1090" s="76"/>
      <c r="C1090" s="88"/>
      <c r="D1090" s="89"/>
      <c r="E1090" s="89"/>
      <c r="F1090" s="89"/>
      <c r="G1090" s="89"/>
      <c r="H1090" s="89"/>
      <c r="I1090" s="90"/>
      <c r="J1090" s="89"/>
      <c r="K1090" s="89"/>
      <c r="L1090" s="89"/>
      <c r="M1090" s="89"/>
      <c r="N1090" s="89"/>
      <c r="O1090" s="89"/>
      <c r="P1090" s="89"/>
      <c r="Q1090" s="89"/>
      <c r="R1090" s="89"/>
      <c r="S1090" s="89"/>
      <c r="T1090" s="89"/>
      <c r="U1090" s="89"/>
      <c r="V1090" s="89"/>
      <c r="W1090" s="89"/>
      <c r="X1090" s="89"/>
      <c r="Y1090" s="89"/>
      <c r="Z1090" s="89"/>
      <c r="AA1090" s="89"/>
      <c r="AB1090" s="89"/>
      <c r="AC1090" s="89"/>
      <c r="AD1090" s="89"/>
      <c r="AE1090" s="89"/>
      <c r="AF1090" s="89"/>
      <c r="AG1090" s="89"/>
      <c r="AH1090" s="89"/>
      <c r="AI1090" s="89"/>
      <c r="AJ1090" s="89"/>
      <c r="AK1090" s="89"/>
    </row>
    <row r="1091" customFormat="false" ht="15.75" hidden="false" customHeight="true" outlineLevel="0" collapsed="false">
      <c r="A1091" s="76"/>
      <c r="B1091" s="76"/>
      <c r="C1091" s="88"/>
      <c r="D1091" s="89"/>
      <c r="E1091" s="89"/>
      <c r="F1091" s="89"/>
      <c r="G1091" s="89"/>
      <c r="H1091" s="89"/>
      <c r="I1091" s="90"/>
      <c r="J1091" s="89"/>
      <c r="K1091" s="89"/>
      <c r="L1091" s="89"/>
      <c r="M1091" s="89"/>
      <c r="N1091" s="89"/>
      <c r="O1091" s="89"/>
      <c r="P1091" s="89"/>
      <c r="Q1091" s="89"/>
      <c r="R1091" s="89"/>
      <c r="S1091" s="89"/>
      <c r="T1091" s="89"/>
      <c r="U1091" s="89"/>
      <c r="V1091" s="89"/>
      <c r="W1091" s="89"/>
      <c r="X1091" s="89"/>
      <c r="Y1091" s="89"/>
      <c r="Z1091" s="89"/>
      <c r="AA1091" s="89"/>
      <c r="AB1091" s="89"/>
      <c r="AC1091" s="89"/>
      <c r="AD1091" s="89"/>
      <c r="AE1091" s="89"/>
      <c r="AF1091" s="89"/>
      <c r="AG1091" s="89"/>
      <c r="AH1091" s="89"/>
      <c r="AI1091" s="89"/>
      <c r="AJ1091" s="89"/>
      <c r="AK1091" s="89"/>
    </row>
    <row r="1092" customFormat="false" ht="15.75" hidden="false" customHeight="true" outlineLevel="0" collapsed="false">
      <c r="A1092" s="76"/>
      <c r="B1092" s="76"/>
      <c r="C1092" s="88"/>
      <c r="D1092" s="89"/>
      <c r="E1092" s="89"/>
      <c r="F1092" s="89"/>
      <c r="G1092" s="89"/>
      <c r="H1092" s="89"/>
      <c r="I1092" s="90"/>
      <c r="J1092" s="89"/>
      <c r="K1092" s="89"/>
      <c r="L1092" s="89"/>
      <c r="M1092" s="89"/>
      <c r="N1092" s="89"/>
      <c r="O1092" s="89"/>
      <c r="P1092" s="89"/>
      <c r="Q1092" s="89"/>
      <c r="R1092" s="89"/>
      <c r="S1092" s="89"/>
      <c r="T1092" s="89"/>
      <c r="U1092" s="89"/>
      <c r="V1092" s="89"/>
      <c r="W1092" s="89"/>
      <c r="X1092" s="89"/>
      <c r="Y1092" s="89"/>
      <c r="Z1092" s="89"/>
      <c r="AA1092" s="89"/>
      <c r="AB1092" s="89"/>
      <c r="AC1092" s="89"/>
      <c r="AD1092" s="89"/>
      <c r="AE1092" s="89"/>
      <c r="AF1092" s="89"/>
      <c r="AG1092" s="89"/>
      <c r="AH1092" s="89"/>
      <c r="AI1092" s="89"/>
      <c r="AJ1092" s="89"/>
      <c r="AK1092" s="89"/>
    </row>
    <row r="1093" customFormat="false" ht="15.75" hidden="false" customHeight="true" outlineLevel="0" collapsed="false">
      <c r="A1093" s="76"/>
      <c r="B1093" s="76"/>
      <c r="C1093" s="88"/>
      <c r="D1093" s="89"/>
      <c r="E1093" s="89"/>
      <c r="F1093" s="89"/>
      <c r="G1093" s="89"/>
      <c r="H1093" s="89"/>
      <c r="I1093" s="90"/>
      <c r="J1093" s="89"/>
      <c r="K1093" s="89"/>
      <c r="L1093" s="89"/>
      <c r="M1093" s="89"/>
      <c r="N1093" s="89"/>
      <c r="O1093" s="89"/>
      <c r="P1093" s="89"/>
      <c r="Q1093" s="89"/>
      <c r="R1093" s="89"/>
      <c r="S1093" s="89"/>
      <c r="T1093" s="89"/>
      <c r="U1093" s="89"/>
      <c r="V1093" s="89"/>
      <c r="W1093" s="89"/>
      <c r="X1093" s="89"/>
      <c r="Y1093" s="89"/>
      <c r="Z1093" s="89"/>
      <c r="AA1093" s="89"/>
      <c r="AB1093" s="89"/>
      <c r="AC1093" s="89"/>
      <c r="AD1093" s="89"/>
      <c r="AE1093" s="89"/>
      <c r="AF1093" s="89"/>
      <c r="AG1093" s="89"/>
      <c r="AH1093" s="89"/>
      <c r="AI1093" s="89"/>
      <c r="AJ1093" s="89"/>
      <c r="AK1093" s="89"/>
    </row>
    <row r="1094" customFormat="false" ht="15.75" hidden="false" customHeight="true" outlineLevel="0" collapsed="false">
      <c r="A1094" s="76"/>
      <c r="B1094" s="76"/>
      <c r="C1094" s="88"/>
      <c r="D1094" s="89"/>
      <c r="E1094" s="89"/>
      <c r="F1094" s="89"/>
      <c r="G1094" s="89"/>
      <c r="H1094" s="89"/>
      <c r="I1094" s="90"/>
      <c r="J1094" s="89"/>
      <c r="K1094" s="89"/>
      <c r="L1094" s="89"/>
      <c r="M1094" s="89"/>
      <c r="N1094" s="89"/>
      <c r="O1094" s="89"/>
      <c r="P1094" s="89"/>
      <c r="Q1094" s="89"/>
      <c r="R1094" s="89"/>
      <c r="S1094" s="89"/>
      <c r="T1094" s="89"/>
      <c r="U1094" s="89"/>
      <c r="V1094" s="89"/>
      <c r="W1094" s="89"/>
      <c r="X1094" s="89"/>
      <c r="Y1094" s="89"/>
      <c r="Z1094" s="89"/>
      <c r="AA1094" s="89"/>
      <c r="AB1094" s="89"/>
      <c r="AC1094" s="89"/>
      <c r="AD1094" s="89"/>
      <c r="AE1094" s="89"/>
      <c r="AF1094" s="89"/>
      <c r="AG1094" s="89"/>
      <c r="AH1094" s="89"/>
      <c r="AI1094" s="89"/>
      <c r="AJ1094" s="89"/>
      <c r="AK1094" s="89"/>
    </row>
    <row r="1095" customFormat="false" ht="15.75" hidden="false" customHeight="true" outlineLevel="0" collapsed="false">
      <c r="A1095" s="76"/>
      <c r="B1095" s="76"/>
      <c r="C1095" s="88"/>
      <c r="D1095" s="89"/>
      <c r="E1095" s="89"/>
      <c r="F1095" s="89"/>
      <c r="G1095" s="89"/>
      <c r="H1095" s="89"/>
      <c r="I1095" s="90"/>
      <c r="J1095" s="89"/>
      <c r="K1095" s="89"/>
      <c r="L1095" s="89"/>
      <c r="M1095" s="89"/>
      <c r="N1095" s="89"/>
      <c r="O1095" s="89"/>
      <c r="P1095" s="89"/>
      <c r="Q1095" s="89"/>
      <c r="R1095" s="89"/>
      <c r="S1095" s="89"/>
      <c r="T1095" s="89"/>
      <c r="U1095" s="89"/>
      <c r="V1095" s="89"/>
      <c r="W1095" s="89"/>
      <c r="X1095" s="89"/>
      <c r="Y1095" s="89"/>
      <c r="Z1095" s="89"/>
      <c r="AA1095" s="89"/>
      <c r="AB1095" s="89"/>
      <c r="AC1095" s="89"/>
      <c r="AD1095" s="89"/>
      <c r="AE1095" s="89"/>
      <c r="AF1095" s="89"/>
      <c r="AG1095" s="89"/>
      <c r="AH1095" s="89"/>
      <c r="AI1095" s="89"/>
      <c r="AJ1095" s="89"/>
      <c r="AK1095" s="89"/>
    </row>
    <row r="1096" customFormat="false" ht="15.75" hidden="false" customHeight="true" outlineLevel="0" collapsed="false">
      <c r="A1096" s="76"/>
      <c r="B1096" s="76"/>
      <c r="C1096" s="88"/>
      <c r="D1096" s="89"/>
      <c r="E1096" s="89"/>
      <c r="F1096" s="89"/>
      <c r="G1096" s="89"/>
      <c r="H1096" s="89"/>
      <c r="I1096" s="90"/>
      <c r="J1096" s="89"/>
      <c r="K1096" s="89"/>
      <c r="L1096" s="89"/>
      <c r="M1096" s="89"/>
      <c r="N1096" s="89"/>
      <c r="O1096" s="89"/>
      <c r="P1096" s="89"/>
      <c r="Q1096" s="89"/>
      <c r="R1096" s="89"/>
      <c r="S1096" s="89"/>
      <c r="T1096" s="89"/>
      <c r="U1096" s="89"/>
      <c r="V1096" s="89"/>
      <c r="W1096" s="89"/>
      <c r="X1096" s="89"/>
      <c r="Y1096" s="89"/>
      <c r="Z1096" s="89"/>
      <c r="AA1096" s="89"/>
      <c r="AB1096" s="89"/>
      <c r="AC1096" s="89"/>
      <c r="AD1096" s="89"/>
      <c r="AE1096" s="89"/>
      <c r="AF1096" s="89"/>
      <c r="AG1096" s="89"/>
      <c r="AH1096" s="89"/>
      <c r="AI1096" s="89"/>
      <c r="AJ1096" s="89"/>
      <c r="AK1096" s="89"/>
    </row>
    <row r="1097" customFormat="false" ht="15.75" hidden="false" customHeight="true" outlineLevel="0" collapsed="false">
      <c r="A1097" s="76"/>
      <c r="B1097" s="76"/>
      <c r="C1097" s="88"/>
      <c r="D1097" s="89"/>
      <c r="E1097" s="89"/>
      <c r="F1097" s="89"/>
      <c r="G1097" s="89"/>
      <c r="H1097" s="89"/>
      <c r="I1097" s="90"/>
      <c r="J1097" s="89"/>
      <c r="K1097" s="89"/>
      <c r="L1097" s="89"/>
      <c r="M1097" s="89"/>
      <c r="N1097" s="89"/>
      <c r="O1097" s="89"/>
      <c r="P1097" s="89"/>
      <c r="Q1097" s="89"/>
      <c r="R1097" s="89"/>
      <c r="S1097" s="89"/>
      <c r="T1097" s="89"/>
      <c r="U1097" s="89"/>
      <c r="V1097" s="89"/>
      <c r="W1097" s="89"/>
      <c r="X1097" s="89"/>
      <c r="Y1097" s="89"/>
      <c r="Z1097" s="89"/>
      <c r="AA1097" s="89"/>
      <c r="AB1097" s="89"/>
      <c r="AC1097" s="89"/>
      <c r="AD1097" s="89"/>
      <c r="AE1097" s="89"/>
      <c r="AF1097" s="89"/>
      <c r="AG1097" s="89"/>
      <c r="AH1097" s="89"/>
      <c r="AI1097" s="89"/>
      <c r="AJ1097" s="89"/>
      <c r="AK1097" s="89"/>
    </row>
    <row r="1098" customFormat="false" ht="15.75" hidden="false" customHeight="true" outlineLevel="0" collapsed="false">
      <c r="A1098" s="76"/>
      <c r="B1098" s="76"/>
      <c r="C1098" s="88"/>
      <c r="D1098" s="89"/>
      <c r="E1098" s="89"/>
      <c r="F1098" s="89"/>
      <c r="G1098" s="89"/>
      <c r="H1098" s="89"/>
      <c r="I1098" s="90"/>
      <c r="J1098" s="89"/>
      <c r="K1098" s="89"/>
      <c r="L1098" s="89"/>
      <c r="M1098" s="89"/>
      <c r="N1098" s="89"/>
      <c r="O1098" s="89"/>
      <c r="P1098" s="89"/>
      <c r="Q1098" s="89"/>
      <c r="R1098" s="89"/>
      <c r="S1098" s="89"/>
      <c r="T1098" s="89"/>
      <c r="U1098" s="89"/>
      <c r="V1098" s="89"/>
      <c r="W1098" s="89"/>
      <c r="X1098" s="89"/>
      <c r="Y1098" s="89"/>
      <c r="Z1098" s="89"/>
      <c r="AA1098" s="89"/>
      <c r="AB1098" s="89"/>
      <c r="AC1098" s="89"/>
      <c r="AD1098" s="89"/>
      <c r="AE1098" s="89"/>
      <c r="AF1098" s="89"/>
      <c r="AG1098" s="89"/>
      <c r="AH1098" s="89"/>
      <c r="AI1098" s="89"/>
      <c r="AJ1098" s="89"/>
      <c r="AK1098" s="89"/>
    </row>
    <row r="1099" customFormat="false" ht="15.75" hidden="false" customHeight="true" outlineLevel="0" collapsed="false">
      <c r="A1099" s="76"/>
      <c r="B1099" s="76"/>
      <c r="C1099" s="88"/>
      <c r="D1099" s="89"/>
      <c r="E1099" s="89"/>
      <c r="F1099" s="89"/>
      <c r="G1099" s="89"/>
      <c r="H1099" s="89"/>
      <c r="I1099" s="90"/>
      <c r="J1099" s="89"/>
      <c r="K1099" s="89"/>
      <c r="L1099" s="89"/>
      <c r="M1099" s="89"/>
      <c r="N1099" s="89"/>
      <c r="O1099" s="89"/>
      <c r="P1099" s="89"/>
      <c r="Q1099" s="89"/>
      <c r="R1099" s="89"/>
      <c r="S1099" s="89"/>
      <c r="T1099" s="89"/>
      <c r="U1099" s="89"/>
      <c r="V1099" s="89"/>
      <c r="W1099" s="89"/>
      <c r="X1099" s="89"/>
      <c r="Y1099" s="89"/>
      <c r="Z1099" s="89"/>
      <c r="AA1099" s="89"/>
      <c r="AB1099" s="89"/>
      <c r="AC1099" s="89"/>
      <c r="AD1099" s="89"/>
      <c r="AE1099" s="89"/>
      <c r="AF1099" s="89"/>
      <c r="AG1099" s="89"/>
      <c r="AH1099" s="89"/>
      <c r="AI1099" s="89"/>
      <c r="AJ1099" s="89"/>
      <c r="AK1099" s="89"/>
    </row>
    <row r="1100" customFormat="false" ht="15.75" hidden="false" customHeight="true" outlineLevel="0" collapsed="false">
      <c r="A1100" s="76"/>
      <c r="B1100" s="76"/>
      <c r="C1100" s="88"/>
      <c r="D1100" s="89"/>
      <c r="E1100" s="89"/>
      <c r="F1100" s="89"/>
      <c r="G1100" s="89"/>
      <c r="H1100" s="89"/>
      <c r="I1100" s="90"/>
      <c r="J1100" s="89"/>
      <c r="K1100" s="89"/>
      <c r="L1100" s="89"/>
      <c r="M1100" s="89"/>
      <c r="N1100" s="89"/>
      <c r="O1100" s="89"/>
      <c r="P1100" s="89"/>
      <c r="Q1100" s="89"/>
      <c r="R1100" s="89"/>
      <c r="S1100" s="89"/>
      <c r="T1100" s="89"/>
      <c r="U1100" s="89"/>
      <c r="V1100" s="89"/>
      <c r="W1100" s="89"/>
      <c r="X1100" s="89"/>
      <c r="Y1100" s="89"/>
      <c r="Z1100" s="89"/>
      <c r="AA1100" s="89"/>
      <c r="AB1100" s="89"/>
      <c r="AC1100" s="89"/>
      <c r="AD1100" s="89"/>
      <c r="AE1100" s="89"/>
      <c r="AF1100" s="89"/>
      <c r="AG1100" s="89"/>
      <c r="AH1100" s="89"/>
      <c r="AI1100" s="89"/>
      <c r="AJ1100" s="89"/>
      <c r="AK1100" s="89"/>
    </row>
    <row r="1101" customFormat="false" ht="15.75" hidden="false" customHeight="true" outlineLevel="0" collapsed="false">
      <c r="A1101" s="76"/>
      <c r="B1101" s="76"/>
      <c r="C1101" s="88"/>
      <c r="D1101" s="89"/>
      <c r="E1101" s="89"/>
      <c r="F1101" s="89"/>
      <c r="G1101" s="89"/>
      <c r="H1101" s="89"/>
      <c r="I1101" s="90"/>
      <c r="J1101" s="89"/>
      <c r="K1101" s="89"/>
      <c r="L1101" s="89"/>
      <c r="M1101" s="89"/>
      <c r="N1101" s="89"/>
      <c r="O1101" s="89"/>
      <c r="P1101" s="89"/>
      <c r="Q1101" s="89"/>
      <c r="R1101" s="89"/>
      <c r="S1101" s="89"/>
      <c r="T1101" s="89"/>
      <c r="U1101" s="89"/>
      <c r="V1101" s="89"/>
      <c r="W1101" s="89"/>
      <c r="X1101" s="89"/>
      <c r="Y1101" s="89"/>
      <c r="Z1101" s="89"/>
      <c r="AA1101" s="89"/>
      <c r="AB1101" s="89"/>
      <c r="AC1101" s="89"/>
      <c r="AD1101" s="89"/>
      <c r="AE1101" s="89"/>
      <c r="AF1101" s="89"/>
      <c r="AG1101" s="89"/>
      <c r="AH1101" s="89"/>
      <c r="AI1101" s="89"/>
      <c r="AJ1101" s="89"/>
      <c r="AK1101" s="89"/>
    </row>
    <row r="1102" customFormat="false" ht="15.75" hidden="false" customHeight="true" outlineLevel="0" collapsed="false">
      <c r="A1102" s="76"/>
      <c r="B1102" s="76"/>
      <c r="C1102" s="88"/>
      <c r="D1102" s="89"/>
      <c r="E1102" s="89"/>
      <c r="F1102" s="89"/>
      <c r="G1102" s="89"/>
      <c r="H1102" s="89"/>
      <c r="I1102" s="90"/>
      <c r="J1102" s="89"/>
      <c r="K1102" s="89"/>
      <c r="L1102" s="89"/>
      <c r="M1102" s="89"/>
      <c r="N1102" s="89"/>
      <c r="O1102" s="89"/>
      <c r="P1102" s="89"/>
      <c r="Q1102" s="89"/>
      <c r="R1102" s="89"/>
      <c r="S1102" s="89"/>
      <c r="T1102" s="89"/>
      <c r="U1102" s="89"/>
      <c r="V1102" s="89"/>
      <c r="W1102" s="89"/>
      <c r="X1102" s="89"/>
      <c r="Y1102" s="89"/>
      <c r="Z1102" s="89"/>
      <c r="AA1102" s="89"/>
      <c r="AB1102" s="89"/>
      <c r="AC1102" s="89"/>
      <c r="AD1102" s="89"/>
      <c r="AE1102" s="89"/>
      <c r="AF1102" s="89"/>
      <c r="AG1102" s="89"/>
      <c r="AH1102" s="89"/>
      <c r="AI1102" s="89"/>
      <c r="AJ1102" s="89"/>
      <c r="AK1102" s="89"/>
    </row>
    <row r="1103" customFormat="false" ht="15.75" hidden="false" customHeight="true" outlineLevel="0" collapsed="false">
      <c r="A1103" s="76"/>
      <c r="B1103" s="76"/>
      <c r="C1103" s="88"/>
      <c r="D1103" s="89"/>
      <c r="E1103" s="89"/>
      <c r="F1103" s="89"/>
      <c r="G1103" s="89"/>
      <c r="H1103" s="89"/>
      <c r="I1103" s="90"/>
      <c r="J1103" s="89"/>
      <c r="K1103" s="89"/>
      <c r="L1103" s="89"/>
      <c r="M1103" s="89"/>
      <c r="N1103" s="89"/>
      <c r="O1103" s="89"/>
      <c r="P1103" s="89"/>
      <c r="Q1103" s="89"/>
      <c r="R1103" s="89"/>
      <c r="S1103" s="89"/>
      <c r="T1103" s="89"/>
      <c r="U1103" s="89"/>
      <c r="V1103" s="89"/>
      <c r="W1103" s="89"/>
      <c r="X1103" s="89"/>
      <c r="Y1103" s="89"/>
      <c r="Z1103" s="89"/>
      <c r="AA1103" s="89"/>
      <c r="AB1103" s="89"/>
      <c r="AC1103" s="89"/>
      <c r="AD1103" s="89"/>
      <c r="AE1103" s="89"/>
      <c r="AF1103" s="89"/>
      <c r="AG1103" s="89"/>
      <c r="AH1103" s="89"/>
      <c r="AI1103" s="89"/>
      <c r="AJ1103" s="89"/>
      <c r="AK1103" s="89"/>
    </row>
    <row r="1104" customFormat="false" ht="15.75" hidden="false" customHeight="true" outlineLevel="0" collapsed="false">
      <c r="A1104" s="76"/>
      <c r="B1104" s="76"/>
      <c r="C1104" s="88"/>
      <c r="D1104" s="89"/>
      <c r="E1104" s="89"/>
      <c r="F1104" s="89"/>
      <c r="G1104" s="89"/>
      <c r="H1104" s="89"/>
      <c r="I1104" s="90"/>
      <c r="J1104" s="89"/>
      <c r="K1104" s="89"/>
      <c r="L1104" s="89"/>
      <c r="M1104" s="89"/>
      <c r="N1104" s="89"/>
      <c r="O1104" s="89"/>
      <c r="P1104" s="89"/>
      <c r="Q1104" s="89"/>
      <c r="R1104" s="89"/>
      <c r="S1104" s="89"/>
      <c r="T1104" s="89"/>
      <c r="U1104" s="89"/>
      <c r="V1104" s="89"/>
      <c r="W1104" s="89"/>
      <c r="X1104" s="89"/>
      <c r="Y1104" s="89"/>
      <c r="Z1104" s="89"/>
      <c r="AA1104" s="89"/>
      <c r="AB1104" s="89"/>
      <c r="AC1104" s="89"/>
      <c r="AD1104" s="89"/>
      <c r="AE1104" s="89"/>
      <c r="AF1104" s="89"/>
      <c r="AG1104" s="89"/>
      <c r="AH1104" s="89"/>
      <c r="AI1104" s="89"/>
      <c r="AJ1104" s="89"/>
      <c r="AK1104" s="89"/>
    </row>
    <row r="1105" customFormat="false" ht="15.75" hidden="false" customHeight="true" outlineLevel="0" collapsed="false">
      <c r="A1105" s="76"/>
      <c r="B1105" s="76"/>
      <c r="C1105" s="88"/>
      <c r="D1105" s="89"/>
      <c r="E1105" s="89"/>
      <c r="F1105" s="89"/>
      <c r="G1105" s="89"/>
      <c r="H1105" s="89"/>
      <c r="I1105" s="90"/>
      <c r="J1105" s="89"/>
      <c r="K1105" s="89"/>
      <c r="L1105" s="89"/>
      <c r="M1105" s="89"/>
      <c r="N1105" s="89"/>
      <c r="O1105" s="89"/>
      <c r="P1105" s="89"/>
      <c r="Q1105" s="89"/>
      <c r="R1105" s="89"/>
      <c r="S1105" s="89"/>
      <c r="T1105" s="89"/>
      <c r="U1105" s="89"/>
      <c r="V1105" s="89"/>
      <c r="W1105" s="89"/>
      <c r="X1105" s="89"/>
      <c r="Y1105" s="89"/>
      <c r="Z1105" s="89"/>
      <c r="AA1105" s="89"/>
      <c r="AB1105" s="89"/>
      <c r="AC1105" s="89"/>
      <c r="AD1105" s="89"/>
      <c r="AE1105" s="89"/>
      <c r="AF1105" s="89"/>
      <c r="AG1105" s="89"/>
      <c r="AH1105" s="89"/>
      <c r="AI1105" s="89"/>
      <c r="AJ1105" s="89"/>
      <c r="AK1105" s="89"/>
    </row>
    <row r="1106" customFormat="false" ht="15.75" hidden="false" customHeight="true" outlineLevel="0" collapsed="false">
      <c r="A1106" s="76"/>
      <c r="B1106" s="76"/>
      <c r="C1106" s="88"/>
      <c r="D1106" s="89"/>
      <c r="E1106" s="89"/>
      <c r="F1106" s="89"/>
      <c r="G1106" s="89"/>
      <c r="H1106" s="89"/>
      <c r="I1106" s="90"/>
      <c r="J1106" s="89"/>
      <c r="K1106" s="89"/>
      <c r="L1106" s="89"/>
      <c r="M1106" s="89"/>
      <c r="N1106" s="89"/>
      <c r="O1106" s="89"/>
      <c r="P1106" s="89"/>
      <c r="Q1106" s="89"/>
      <c r="R1106" s="89"/>
      <c r="S1106" s="89"/>
      <c r="T1106" s="89"/>
      <c r="U1106" s="89"/>
      <c r="V1106" s="89"/>
      <c r="W1106" s="89"/>
      <c r="X1106" s="89"/>
      <c r="Y1106" s="89"/>
      <c r="Z1106" s="89"/>
      <c r="AA1106" s="89"/>
      <c r="AB1106" s="89"/>
      <c r="AC1106" s="89"/>
      <c r="AD1106" s="89"/>
      <c r="AE1106" s="89"/>
      <c r="AF1106" s="89"/>
      <c r="AG1106" s="89"/>
      <c r="AH1106" s="89"/>
      <c r="AI1106" s="89"/>
      <c r="AJ1106" s="89"/>
      <c r="AK1106" s="89"/>
    </row>
    <row r="1107" customFormat="false" ht="15.75" hidden="false" customHeight="true" outlineLevel="0" collapsed="false">
      <c r="A1107" s="76"/>
      <c r="B1107" s="76"/>
      <c r="C1107" s="88"/>
      <c r="D1107" s="89"/>
      <c r="E1107" s="89"/>
      <c r="F1107" s="89"/>
      <c r="G1107" s="89"/>
      <c r="H1107" s="89"/>
      <c r="I1107" s="90"/>
      <c r="J1107" s="89"/>
      <c r="K1107" s="89"/>
      <c r="L1107" s="89"/>
      <c r="M1107" s="89"/>
      <c r="N1107" s="89"/>
      <c r="O1107" s="89"/>
      <c r="P1107" s="89"/>
      <c r="Q1107" s="89"/>
      <c r="R1107" s="89"/>
      <c r="S1107" s="89"/>
      <c r="T1107" s="89"/>
      <c r="U1107" s="89"/>
      <c r="V1107" s="89"/>
      <c r="W1107" s="89"/>
      <c r="X1107" s="89"/>
      <c r="Y1107" s="89"/>
      <c r="Z1107" s="89"/>
      <c r="AA1107" s="89"/>
      <c r="AB1107" s="89"/>
      <c r="AC1107" s="89"/>
      <c r="AD1107" s="89"/>
      <c r="AE1107" s="89"/>
      <c r="AF1107" s="89"/>
      <c r="AG1107" s="89"/>
      <c r="AH1107" s="89"/>
      <c r="AI1107" s="89"/>
      <c r="AJ1107" s="89"/>
      <c r="AK1107" s="89"/>
    </row>
    <row r="1108" customFormat="false" ht="15.75" hidden="false" customHeight="true" outlineLevel="0" collapsed="false">
      <c r="A1108" s="76"/>
      <c r="B1108" s="76"/>
      <c r="C1108" s="88"/>
      <c r="D1108" s="89"/>
      <c r="E1108" s="89"/>
      <c r="F1108" s="89"/>
      <c r="G1108" s="89"/>
      <c r="H1108" s="89"/>
      <c r="I1108" s="90"/>
      <c r="J1108" s="89"/>
      <c r="K1108" s="89"/>
      <c r="L1108" s="89"/>
      <c r="M1108" s="89"/>
      <c r="N1108" s="89"/>
      <c r="O1108" s="89"/>
      <c r="P1108" s="89"/>
      <c r="Q1108" s="89"/>
      <c r="R1108" s="89"/>
      <c r="S1108" s="89"/>
      <c r="T1108" s="89"/>
      <c r="U1108" s="89"/>
      <c r="V1108" s="89"/>
      <c r="W1108" s="89"/>
      <c r="X1108" s="89"/>
      <c r="Y1108" s="89"/>
      <c r="Z1108" s="89"/>
      <c r="AA1108" s="89"/>
      <c r="AB1108" s="89"/>
      <c r="AC1108" s="89"/>
      <c r="AD1108" s="89"/>
      <c r="AE1108" s="89"/>
      <c r="AF1108" s="89"/>
      <c r="AG1108" s="89"/>
      <c r="AH1108" s="89"/>
      <c r="AI1108" s="89"/>
      <c r="AJ1108" s="89"/>
      <c r="AK1108" s="89"/>
    </row>
    <row r="1109" customFormat="false" ht="15.75" hidden="false" customHeight="true" outlineLevel="0" collapsed="false">
      <c r="A1109" s="76"/>
      <c r="B1109" s="76"/>
      <c r="C1109" s="88"/>
      <c r="D1109" s="89"/>
      <c r="E1109" s="89"/>
      <c r="F1109" s="89"/>
      <c r="G1109" s="89"/>
      <c r="H1109" s="89"/>
      <c r="I1109" s="90"/>
      <c r="J1109" s="89"/>
      <c r="K1109" s="89"/>
      <c r="L1109" s="89"/>
      <c r="M1109" s="89"/>
      <c r="N1109" s="89"/>
      <c r="O1109" s="89"/>
      <c r="P1109" s="89"/>
      <c r="Q1109" s="89"/>
      <c r="R1109" s="89"/>
      <c r="S1109" s="89"/>
      <c r="T1109" s="89"/>
      <c r="U1109" s="89"/>
      <c r="V1109" s="89"/>
      <c r="W1109" s="89"/>
      <c r="X1109" s="89"/>
      <c r="Y1109" s="89"/>
      <c r="Z1109" s="89"/>
      <c r="AA1109" s="89"/>
      <c r="AB1109" s="89"/>
      <c r="AC1109" s="89"/>
      <c r="AD1109" s="89"/>
      <c r="AE1109" s="89"/>
      <c r="AF1109" s="89"/>
      <c r="AG1109" s="89"/>
      <c r="AH1109" s="89"/>
      <c r="AI1109" s="89"/>
      <c r="AJ1109" s="89"/>
      <c r="AK1109" s="89"/>
    </row>
    <row r="1110" customFormat="false" ht="15.75" hidden="false" customHeight="true" outlineLevel="0" collapsed="false">
      <c r="A1110" s="76"/>
      <c r="B1110" s="76"/>
      <c r="C1110" s="88"/>
      <c r="D1110" s="89"/>
      <c r="E1110" s="89"/>
      <c r="F1110" s="89"/>
      <c r="G1110" s="89"/>
      <c r="H1110" s="89"/>
      <c r="I1110" s="90"/>
      <c r="J1110" s="89"/>
      <c r="K1110" s="89"/>
      <c r="L1110" s="89"/>
      <c r="M1110" s="89"/>
      <c r="N1110" s="89"/>
      <c r="O1110" s="89"/>
      <c r="P1110" s="89"/>
      <c r="Q1110" s="89"/>
      <c r="R1110" s="89"/>
      <c r="S1110" s="89"/>
      <c r="T1110" s="89"/>
      <c r="U1110" s="89"/>
      <c r="V1110" s="89"/>
      <c r="W1110" s="89"/>
      <c r="X1110" s="89"/>
      <c r="Y1110" s="89"/>
      <c r="Z1110" s="89"/>
      <c r="AA1110" s="89"/>
      <c r="AB1110" s="89"/>
      <c r="AC1110" s="89"/>
      <c r="AD1110" s="89"/>
      <c r="AE1110" s="89"/>
      <c r="AF1110" s="89"/>
      <c r="AG1110" s="89"/>
      <c r="AH1110" s="89"/>
      <c r="AI1110" s="89"/>
      <c r="AJ1110" s="89"/>
      <c r="AK1110" s="89"/>
    </row>
    <row r="1111" customFormat="false" ht="15.75" hidden="false" customHeight="true" outlineLevel="0" collapsed="false">
      <c r="A1111" s="76"/>
      <c r="B1111" s="76"/>
      <c r="C1111" s="88"/>
      <c r="D1111" s="89"/>
      <c r="E1111" s="89"/>
      <c r="F1111" s="89"/>
      <c r="G1111" s="89"/>
      <c r="H1111" s="89"/>
      <c r="I1111" s="90"/>
      <c r="J1111" s="89"/>
      <c r="K1111" s="89"/>
      <c r="L1111" s="89"/>
      <c r="M1111" s="89"/>
      <c r="N1111" s="89"/>
      <c r="O1111" s="89"/>
      <c r="P1111" s="89"/>
      <c r="Q1111" s="89"/>
      <c r="R1111" s="89"/>
      <c r="S1111" s="89"/>
      <c r="T1111" s="89"/>
      <c r="U1111" s="89"/>
      <c r="V1111" s="89"/>
      <c r="W1111" s="89"/>
      <c r="X1111" s="89"/>
      <c r="Y1111" s="89"/>
      <c r="Z1111" s="89"/>
      <c r="AA1111" s="89"/>
      <c r="AB1111" s="89"/>
      <c r="AC1111" s="89"/>
      <c r="AD1111" s="89"/>
      <c r="AE1111" s="89"/>
      <c r="AF1111" s="89"/>
      <c r="AG1111" s="89"/>
      <c r="AH1111" s="89"/>
      <c r="AI1111" s="89"/>
      <c r="AJ1111" s="89"/>
      <c r="AK1111" s="89"/>
    </row>
    <row r="1112" customFormat="false" ht="15.75" hidden="false" customHeight="true" outlineLevel="0" collapsed="false">
      <c r="A1112" s="76"/>
      <c r="B1112" s="76"/>
      <c r="C1112" s="88"/>
      <c r="D1112" s="89"/>
      <c r="E1112" s="89"/>
      <c r="F1112" s="89"/>
      <c r="G1112" s="89"/>
      <c r="H1112" s="89"/>
      <c r="I1112" s="90"/>
      <c r="J1112" s="89"/>
      <c r="K1112" s="89"/>
      <c r="L1112" s="89"/>
      <c r="M1112" s="89"/>
      <c r="N1112" s="89"/>
      <c r="O1112" s="89"/>
      <c r="P1112" s="89"/>
      <c r="Q1112" s="89"/>
      <c r="R1112" s="89"/>
      <c r="S1112" s="89"/>
      <c r="T1112" s="89"/>
      <c r="U1112" s="89"/>
      <c r="V1112" s="89"/>
      <c r="W1112" s="89"/>
      <c r="X1112" s="89"/>
      <c r="Y1112" s="89"/>
      <c r="Z1112" s="89"/>
      <c r="AA1112" s="89"/>
      <c r="AB1112" s="89"/>
      <c r="AC1112" s="89"/>
      <c r="AD1112" s="89"/>
      <c r="AE1112" s="89"/>
      <c r="AF1112" s="89"/>
      <c r="AG1112" s="89"/>
      <c r="AH1112" s="89"/>
      <c r="AI1112" s="89"/>
      <c r="AJ1112" s="89"/>
      <c r="AK1112" s="89"/>
    </row>
  </sheetData>
  <printOptions headings="false" gridLines="true" gridLinesSet="true" horizontalCentered="false" verticalCentered="false"/>
  <pageMargins left="0.124305555555556" right="0" top="0.265972222222222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LibreOffice/24.8.7.2$Windows_X86_64 LibreOffice_project/e07d0a63a46349d29051da79b1fde8160bab2a89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2025-06-29T04:24:10Z</dcterms:created>
  <dc:creator>openpyxl</dc:creator>
  <dc:description/>
  <dc:language>en-US</dc:language>
  <cp:lastModifiedBy/>
  <dcterms:modified xsi:type="dcterms:W3CDTF">2025-06-29T15:01:00Z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